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lockStructure="1"/>
  <bookViews>
    <workbookView xWindow="0" yWindow="0" windowWidth="20730" windowHeight="11250" tabRatio="939" activeTab="11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b)'!$A$14</definedName>
    <definedName name="GASTO_E_FIN">'Formato 6 b)'!$A$23</definedName>
    <definedName name="GASTO_E_FIN_01">'Formato 6 b)'!$B$23</definedName>
    <definedName name="GASTO_E_FIN_02">'Formato 6 b)'!$C$23</definedName>
    <definedName name="GASTO_E_FIN_03">'Formato 6 b)'!$D$23</definedName>
    <definedName name="GASTO_E_FIN_04">'Formato 6 b)'!$E$23</definedName>
    <definedName name="GASTO_E_FIN_05">'Formato 6 b)'!$F$23</definedName>
    <definedName name="GASTO_E_FIN_06">'Formato 6 b)'!$G$23</definedName>
    <definedName name="GASTO_E_T1">'Formato 6 b)'!$B$14</definedName>
    <definedName name="GASTO_E_T2">'Formato 6 b)'!$C$14</definedName>
    <definedName name="GASTO_E_T3">'Formato 6 b)'!$D$14</definedName>
    <definedName name="GASTO_E_T4">'Formato 6 b)'!$E$14</definedName>
    <definedName name="GASTO_E_T5">'Formato 6 b)'!$F$14</definedName>
    <definedName name="GASTO_E_T6">'Formato 6 b)'!$G$14</definedName>
    <definedName name="GASTO_NE">'Formato 6 b)'!$A$9</definedName>
    <definedName name="GASTO_NE_FIN">'Formato 6 b)'!$A$13</definedName>
    <definedName name="GASTO_NE_FIN_01">'Formato 6 b)'!$B$13</definedName>
    <definedName name="GASTO_NE_FIN_02">'Formato 6 b)'!$C$13</definedName>
    <definedName name="GASTO_NE_FIN_03">'Formato 6 b)'!$D$13</definedName>
    <definedName name="GASTO_NE_FIN_04">'Formato 6 b)'!$E$13</definedName>
    <definedName name="GASTO_NE_FIN_05">'Formato 6 b)'!$F$13</definedName>
    <definedName name="GASTO_NE_FIN_06">'Formato 6 b)'!$G$13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b)'!$B$24</definedName>
    <definedName name="TOTAL_E_T2">'Formato 6 b)'!$C$24</definedName>
    <definedName name="TOTAL_E_T3">'Formato 6 b)'!$D$24</definedName>
    <definedName name="TOTAL_E_T4">'Formato 6 b)'!$E$24</definedName>
    <definedName name="TOTAL_E_T5">'Formato 6 b)'!$F$24</definedName>
    <definedName name="TOTAL_E_T6">'Formato 6 b)'!$G$24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B8" i="10" l="1"/>
  <c r="C28" i="6"/>
  <c r="D28" i="6"/>
  <c r="E68" i="1"/>
  <c r="B17" i="1"/>
  <c r="G10" i="9"/>
  <c r="E9" i="7"/>
  <c r="S2" i="25" s="1"/>
  <c r="G15" i="6"/>
  <c r="G36" i="5"/>
  <c r="E10" i="6"/>
  <c r="F10" i="6"/>
  <c r="T3" i="24"/>
  <c r="F7" i="12"/>
  <c r="E7" i="12"/>
  <c r="E31" i="12"/>
  <c r="G21" i="12"/>
  <c r="B37" i="10"/>
  <c r="B16" i="5"/>
  <c r="F68" i="1"/>
  <c r="C38" i="1"/>
  <c r="C9" i="1"/>
  <c r="C137" i="6"/>
  <c r="D137" i="6"/>
  <c r="R129" i="24"/>
  <c r="E137" i="6"/>
  <c r="S129" i="24"/>
  <c r="F137" i="6"/>
  <c r="B137" i="6"/>
  <c r="C62" i="6"/>
  <c r="D62" i="6"/>
  <c r="E62" i="6"/>
  <c r="F62" i="6"/>
  <c r="B62" i="6"/>
  <c r="P55" i="24"/>
  <c r="C6" i="23"/>
  <c r="C7" i="23"/>
  <c r="B9" i="1"/>
  <c r="P4" i="15"/>
  <c r="H25" i="23"/>
  <c r="F5" i="12"/>
  <c r="G25" i="23"/>
  <c r="F25" i="23"/>
  <c r="E25" i="23"/>
  <c r="D25" i="23"/>
  <c r="G30" i="9"/>
  <c r="G31" i="9"/>
  <c r="U23" i="27"/>
  <c r="G29" i="9"/>
  <c r="G26" i="9"/>
  <c r="G27" i="9"/>
  <c r="U19" i="27"/>
  <c r="G25" i="9"/>
  <c r="G24" i="9"/>
  <c r="U16" i="27"/>
  <c r="G23" i="9"/>
  <c r="G22" i="9"/>
  <c r="G19" i="9"/>
  <c r="G18" i="9"/>
  <c r="G17" i="9"/>
  <c r="G14" i="9"/>
  <c r="G12" i="9"/>
  <c r="G15" i="9"/>
  <c r="G13" i="9"/>
  <c r="G11" i="9"/>
  <c r="U3" i="27"/>
  <c r="G73" i="8"/>
  <c r="U65" i="26"/>
  <c r="G74" i="8"/>
  <c r="G75" i="8"/>
  <c r="G72" i="8"/>
  <c r="G71" i="8"/>
  <c r="U63" i="26"/>
  <c r="G63" i="8"/>
  <c r="U55" i="26"/>
  <c r="G64" i="8"/>
  <c r="G65" i="8"/>
  <c r="G66" i="8"/>
  <c r="U58" i="26"/>
  <c r="G67" i="8"/>
  <c r="U59" i="26"/>
  <c r="G68" i="8"/>
  <c r="G69" i="8"/>
  <c r="G70" i="8"/>
  <c r="U62" i="26"/>
  <c r="G62" i="8"/>
  <c r="U54" i="26"/>
  <c r="G55" i="8"/>
  <c r="G56" i="8"/>
  <c r="U48" i="26"/>
  <c r="G57" i="8"/>
  <c r="U49" i="26"/>
  <c r="G58" i="8"/>
  <c r="G59" i="8"/>
  <c r="G60" i="8"/>
  <c r="U52" i="26"/>
  <c r="G54" i="8"/>
  <c r="G53" i="8"/>
  <c r="U45" i="26"/>
  <c r="G46" i="8"/>
  <c r="G47" i="8"/>
  <c r="G48" i="8"/>
  <c r="U40" i="26"/>
  <c r="G49" i="8"/>
  <c r="U41" i="26"/>
  <c r="G50" i="8"/>
  <c r="G51" i="8"/>
  <c r="G52" i="8"/>
  <c r="U44" i="26"/>
  <c r="G45" i="8"/>
  <c r="U37" i="26"/>
  <c r="G39" i="8"/>
  <c r="U32" i="26"/>
  <c r="G40" i="8"/>
  <c r="G37" i="8"/>
  <c r="U30" i="26"/>
  <c r="G41" i="8"/>
  <c r="G38" i="8"/>
  <c r="G11" i="8"/>
  <c r="G10" i="8"/>
  <c r="G12" i="8"/>
  <c r="G13" i="8"/>
  <c r="U6" i="26"/>
  <c r="G14" i="8"/>
  <c r="U7" i="26"/>
  <c r="G15" i="8"/>
  <c r="G16" i="8"/>
  <c r="G17" i="8"/>
  <c r="U10" i="26"/>
  <c r="G18" i="8"/>
  <c r="U11" i="26"/>
  <c r="G20" i="8"/>
  <c r="U13" i="26"/>
  <c r="G21" i="8"/>
  <c r="U14" i="26"/>
  <c r="G22" i="8"/>
  <c r="G23" i="8"/>
  <c r="G24" i="8"/>
  <c r="G25" i="8"/>
  <c r="G26" i="8"/>
  <c r="G28" i="8"/>
  <c r="G27" i="8"/>
  <c r="U20" i="26"/>
  <c r="G29" i="8"/>
  <c r="G30" i="8"/>
  <c r="G31" i="8"/>
  <c r="G32" i="8"/>
  <c r="G33" i="8"/>
  <c r="G34" i="8"/>
  <c r="G35" i="8"/>
  <c r="G36" i="8"/>
  <c r="G16" i="7"/>
  <c r="G17" i="7"/>
  <c r="G18" i="7"/>
  <c r="G19" i="7"/>
  <c r="G20" i="7"/>
  <c r="G21" i="7"/>
  <c r="G22" i="7"/>
  <c r="G15" i="7"/>
  <c r="G14" i="7"/>
  <c r="U3" i="25" s="1"/>
  <c r="G11" i="7"/>
  <c r="G12" i="7"/>
  <c r="G9" i="7"/>
  <c r="G24" i="7" s="1"/>
  <c r="U4" i="25" s="1"/>
  <c r="G10" i="7"/>
  <c r="B10" i="6"/>
  <c r="P3" i="24"/>
  <c r="B18" i="6"/>
  <c r="P11" i="24"/>
  <c r="B28" i="6"/>
  <c r="P21" i="24"/>
  <c r="B38" i="6"/>
  <c r="B48" i="6"/>
  <c r="P41" i="24"/>
  <c r="B58" i="6"/>
  <c r="B71" i="6"/>
  <c r="P64" i="24"/>
  <c r="B75" i="6"/>
  <c r="P68" i="24"/>
  <c r="G152" i="6"/>
  <c r="G153" i="6"/>
  <c r="G154" i="6"/>
  <c r="U146" i="24"/>
  <c r="G155" i="6"/>
  <c r="G156" i="6"/>
  <c r="G157" i="6"/>
  <c r="G151" i="6"/>
  <c r="G150" i="6"/>
  <c r="U142" i="24"/>
  <c r="G148" i="6"/>
  <c r="G149" i="6"/>
  <c r="G147" i="6"/>
  <c r="G146" i="6"/>
  <c r="U138" i="24"/>
  <c r="G139" i="6"/>
  <c r="G140" i="6"/>
  <c r="U132" i="24"/>
  <c r="G141" i="6"/>
  <c r="G142" i="6"/>
  <c r="G143" i="6"/>
  <c r="U135" i="24"/>
  <c r="G144" i="6"/>
  <c r="U136" i="24"/>
  <c r="G145" i="6"/>
  <c r="G138" i="6"/>
  <c r="G135" i="6"/>
  <c r="U127" i="24"/>
  <c r="G136" i="6"/>
  <c r="U128" i="24"/>
  <c r="G134" i="6"/>
  <c r="G125" i="6"/>
  <c r="G126" i="6"/>
  <c r="G127" i="6"/>
  <c r="G128" i="6"/>
  <c r="G129" i="6"/>
  <c r="G130" i="6"/>
  <c r="G131" i="6"/>
  <c r="G132" i="6"/>
  <c r="G124" i="6"/>
  <c r="U116" i="24"/>
  <c r="G115" i="6"/>
  <c r="U107" i="24"/>
  <c r="G116" i="6"/>
  <c r="G117" i="6"/>
  <c r="G118" i="6"/>
  <c r="G119" i="6"/>
  <c r="U111" i="24"/>
  <c r="G120" i="6"/>
  <c r="U112" i="24"/>
  <c r="G121" i="6"/>
  <c r="G122" i="6"/>
  <c r="G114" i="6"/>
  <c r="U106" i="24"/>
  <c r="G105" i="6"/>
  <c r="U97" i="24"/>
  <c r="G106" i="6"/>
  <c r="G107" i="6"/>
  <c r="G108" i="6"/>
  <c r="G109" i="6"/>
  <c r="U101" i="24"/>
  <c r="G110" i="6"/>
  <c r="G111" i="6"/>
  <c r="G112" i="6"/>
  <c r="G104" i="6"/>
  <c r="G103" i="6"/>
  <c r="U95" i="24"/>
  <c r="G95" i="6"/>
  <c r="G96" i="6"/>
  <c r="G97" i="6"/>
  <c r="G98" i="6"/>
  <c r="G99" i="6"/>
  <c r="G100" i="6"/>
  <c r="G101" i="6"/>
  <c r="G102" i="6"/>
  <c r="G94" i="6"/>
  <c r="G93" i="6"/>
  <c r="U85" i="24"/>
  <c r="G87" i="6"/>
  <c r="G88" i="6"/>
  <c r="U80" i="24"/>
  <c r="G89" i="6"/>
  <c r="U81" i="24"/>
  <c r="G90" i="6"/>
  <c r="G91" i="6"/>
  <c r="U83" i="24"/>
  <c r="G92" i="6"/>
  <c r="U84" i="24"/>
  <c r="G86" i="6"/>
  <c r="U78" i="24"/>
  <c r="G77" i="6"/>
  <c r="G78" i="6"/>
  <c r="G79" i="6"/>
  <c r="U72" i="24"/>
  <c r="G80" i="6"/>
  <c r="G81" i="6"/>
  <c r="G82" i="6"/>
  <c r="G76" i="6"/>
  <c r="U69" i="24"/>
  <c r="G73" i="6"/>
  <c r="U66" i="24"/>
  <c r="G74" i="6"/>
  <c r="G72" i="6"/>
  <c r="U65" i="24"/>
  <c r="G64" i="6"/>
  <c r="G65" i="6"/>
  <c r="G66" i="6"/>
  <c r="G67" i="6"/>
  <c r="U60" i="24"/>
  <c r="G68" i="6"/>
  <c r="U61" i="24"/>
  <c r="G69" i="6"/>
  <c r="U62" i="24"/>
  <c r="G70" i="6"/>
  <c r="G63" i="6"/>
  <c r="G60" i="6"/>
  <c r="U53" i="24"/>
  <c r="G61" i="6"/>
  <c r="U54" i="24"/>
  <c r="G59" i="6"/>
  <c r="G50" i="6"/>
  <c r="G51" i="6"/>
  <c r="G52" i="6"/>
  <c r="U45" i="24"/>
  <c r="G53" i="6"/>
  <c r="G54" i="6"/>
  <c r="G55" i="6"/>
  <c r="G56" i="6"/>
  <c r="U49" i="24"/>
  <c r="G57" i="6"/>
  <c r="G49" i="6"/>
  <c r="U42" i="24"/>
  <c r="G40" i="6"/>
  <c r="U33" i="24"/>
  <c r="G41" i="6"/>
  <c r="U34" i="24"/>
  <c r="G42" i="6"/>
  <c r="G43" i="6"/>
  <c r="G44" i="6"/>
  <c r="U37" i="24"/>
  <c r="G45" i="6"/>
  <c r="U38" i="24"/>
  <c r="G46" i="6"/>
  <c r="G47" i="6"/>
  <c r="G39" i="6"/>
  <c r="G38" i="6"/>
  <c r="U31" i="24"/>
  <c r="G30" i="6"/>
  <c r="G31" i="6"/>
  <c r="G32" i="6"/>
  <c r="G33" i="6"/>
  <c r="U26" i="24"/>
  <c r="G34" i="6"/>
  <c r="U27" i="24"/>
  <c r="G35" i="6"/>
  <c r="G36" i="6"/>
  <c r="G37" i="6"/>
  <c r="U30" i="24"/>
  <c r="G29" i="6"/>
  <c r="U22" i="24"/>
  <c r="G20" i="6"/>
  <c r="G21" i="6"/>
  <c r="G22" i="6"/>
  <c r="G23" i="6"/>
  <c r="G24" i="6"/>
  <c r="G25" i="6"/>
  <c r="U18" i="24"/>
  <c r="G26" i="6"/>
  <c r="U19" i="24"/>
  <c r="G27" i="6"/>
  <c r="U20" i="24"/>
  <c r="G19" i="6"/>
  <c r="G11" i="6"/>
  <c r="B7" i="13"/>
  <c r="P2" i="31"/>
  <c r="G12" i="6"/>
  <c r="G13" i="6"/>
  <c r="G14" i="6"/>
  <c r="U8" i="24"/>
  <c r="G16" i="6"/>
  <c r="U9" i="24"/>
  <c r="G17" i="6"/>
  <c r="U10" i="24"/>
  <c r="G9" i="5"/>
  <c r="G10" i="5"/>
  <c r="U4" i="20"/>
  <c r="G11" i="5"/>
  <c r="G12" i="5"/>
  <c r="G13" i="5"/>
  <c r="G14" i="5"/>
  <c r="G15" i="5"/>
  <c r="U9" i="20"/>
  <c r="G17" i="5"/>
  <c r="G16" i="5"/>
  <c r="U10" i="20"/>
  <c r="G18" i="5"/>
  <c r="G19" i="5"/>
  <c r="G20" i="5"/>
  <c r="U14" i="20"/>
  <c r="G21" i="5"/>
  <c r="G22" i="5"/>
  <c r="G23" i="5"/>
  <c r="G24" i="5"/>
  <c r="U18" i="20"/>
  <c r="G25" i="5"/>
  <c r="G26" i="5"/>
  <c r="G27" i="5"/>
  <c r="G29" i="5"/>
  <c r="G30" i="5"/>
  <c r="G31" i="5"/>
  <c r="U25" i="20"/>
  <c r="G32" i="5"/>
  <c r="G33" i="5"/>
  <c r="U27" i="20"/>
  <c r="G34" i="5"/>
  <c r="G35" i="5"/>
  <c r="G38" i="5"/>
  <c r="G39" i="5"/>
  <c r="U33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R2" i="31"/>
  <c r="E7" i="13"/>
  <c r="F7" i="13"/>
  <c r="T2" i="31"/>
  <c r="G7" i="13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P2" i="30"/>
  <c r="C7" i="12"/>
  <c r="D7" i="12"/>
  <c r="T2" i="30"/>
  <c r="G7" i="12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/>
  <c r="C8" i="11"/>
  <c r="D8" i="11"/>
  <c r="R2" i="29"/>
  <c r="E8" i="11"/>
  <c r="E30" i="11"/>
  <c r="S22" i="29"/>
  <c r="F8" i="11"/>
  <c r="T2" i="29"/>
  <c r="G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C32" i="10"/>
  <c r="Q23" i="28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/>
  <c r="D12" i="9"/>
  <c r="D9" i="9"/>
  <c r="R2" i="27"/>
  <c r="D16" i="9"/>
  <c r="R9" i="27"/>
  <c r="E12" i="9"/>
  <c r="E16" i="9"/>
  <c r="S9" i="27"/>
  <c r="F12" i="9"/>
  <c r="F16" i="9"/>
  <c r="G16" i="9"/>
  <c r="U9" i="27"/>
  <c r="Q3" i="27"/>
  <c r="R3" i="27"/>
  <c r="S3" i="27"/>
  <c r="T3" i="27"/>
  <c r="Q4" i="27"/>
  <c r="R4" i="27"/>
  <c r="S4" i="27"/>
  <c r="T4" i="27"/>
  <c r="U4" i="27"/>
  <c r="Q5" i="27"/>
  <c r="S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Q16" i="27"/>
  <c r="C28" i="9"/>
  <c r="Q20" i="27"/>
  <c r="D24" i="9"/>
  <c r="D21" i="9"/>
  <c r="R13" i="27"/>
  <c r="D28" i="9"/>
  <c r="E24" i="9"/>
  <c r="E28" i="9"/>
  <c r="F24" i="9"/>
  <c r="F28" i="9"/>
  <c r="T20" i="27"/>
  <c r="G28" i="9"/>
  <c r="U20" i="27"/>
  <c r="Q14" i="27"/>
  <c r="R14" i="27"/>
  <c r="S14" i="27"/>
  <c r="T14" i="27"/>
  <c r="U14" i="27"/>
  <c r="Q15" i="27"/>
  <c r="R15" i="27"/>
  <c r="S15" i="27"/>
  <c r="T15" i="27"/>
  <c r="U15" i="27"/>
  <c r="R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R20" i="27"/>
  <c r="S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B9" i="9"/>
  <c r="P5" i="27"/>
  <c r="P6" i="27"/>
  <c r="P7" i="27"/>
  <c r="P8" i="27"/>
  <c r="B16" i="9"/>
  <c r="P10" i="27"/>
  <c r="P11" i="27"/>
  <c r="P12" i="27"/>
  <c r="B24" i="9"/>
  <c r="P16" i="27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/>
  <c r="C19" i="8"/>
  <c r="Q12" i="26"/>
  <c r="C27" i="8"/>
  <c r="Q20" i="26"/>
  <c r="C37" i="8"/>
  <c r="Q30" i="26"/>
  <c r="D10" i="8"/>
  <c r="R3" i="26"/>
  <c r="D19" i="8"/>
  <c r="R12" i="26"/>
  <c r="D27" i="8"/>
  <c r="R20" i="26"/>
  <c r="D37" i="8"/>
  <c r="R30" i="26"/>
  <c r="E10" i="8"/>
  <c r="E19" i="8"/>
  <c r="E27" i="8"/>
  <c r="E37" i="8"/>
  <c r="S30" i="26"/>
  <c r="F10" i="8"/>
  <c r="T3" i="26"/>
  <c r="F19" i="8"/>
  <c r="T12" i="26"/>
  <c r="F27" i="8"/>
  <c r="T20" i="26"/>
  <c r="F37" i="8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C44" i="8"/>
  <c r="Q36" i="26"/>
  <c r="C53" i="8"/>
  <c r="C61" i="8"/>
  <c r="C71" i="8"/>
  <c r="Q63" i="26"/>
  <c r="C43" i="8"/>
  <c r="Q35" i="26"/>
  <c r="D44" i="8"/>
  <c r="D53" i="8"/>
  <c r="D61" i="8"/>
  <c r="R53" i="26"/>
  <c r="D71" i="8"/>
  <c r="R63" i="26"/>
  <c r="E44" i="8"/>
  <c r="S36" i="26"/>
  <c r="E53" i="8"/>
  <c r="E61" i="8"/>
  <c r="E71" i="8"/>
  <c r="S63" i="26"/>
  <c r="F44" i="8"/>
  <c r="F53" i="8"/>
  <c r="F61" i="8"/>
  <c r="F71" i="8"/>
  <c r="T63" i="26"/>
  <c r="G44" i="8"/>
  <c r="R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Q45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Q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P36" i="26"/>
  <c r="B53" i="8"/>
  <c r="B61" i="8"/>
  <c r="P53" i="26"/>
  <c r="B71" i="8"/>
  <c r="B10" i="8"/>
  <c r="P3" i="26"/>
  <c r="B19" i="8"/>
  <c r="P12" i="26"/>
  <c r="B27" i="8"/>
  <c r="P20" i="26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24" i="7"/>
  <c r="T4" i="25" s="1"/>
  <c r="F14" i="7"/>
  <c r="T3" i="25" s="1"/>
  <c r="E14" i="7"/>
  <c r="S3" i="25" s="1"/>
  <c r="D9" i="7"/>
  <c r="D24" i="7" s="1"/>
  <c r="R4" i="25" s="1"/>
  <c r="D14" i="7"/>
  <c r="R3" i="25"/>
  <c r="C9" i="7"/>
  <c r="C14" i="7"/>
  <c r="Q3" i="25" s="1"/>
  <c r="B9" i="7"/>
  <c r="B14" i="7"/>
  <c r="P3" i="25" s="1"/>
  <c r="A3" i="25"/>
  <c r="A4" i="25"/>
  <c r="A2" i="25"/>
  <c r="A87" i="24"/>
  <c r="C85" i="6"/>
  <c r="C93" i="6"/>
  <c r="C103" i="6"/>
  <c r="C113" i="6"/>
  <c r="Q105" i="24"/>
  <c r="C123" i="6"/>
  <c r="C133" i="6"/>
  <c r="C146" i="6"/>
  <c r="Q138" i="24"/>
  <c r="C150" i="6"/>
  <c r="Q142" i="24"/>
  <c r="D85" i="6"/>
  <c r="R77" i="24"/>
  <c r="D93" i="6"/>
  <c r="R85" i="24"/>
  <c r="D103" i="6"/>
  <c r="R95" i="24"/>
  <c r="D113" i="6"/>
  <c r="R105" i="24"/>
  <c r="D123" i="6"/>
  <c r="D133" i="6"/>
  <c r="D146" i="6"/>
  <c r="D150" i="6"/>
  <c r="R142" i="24"/>
  <c r="E85" i="6"/>
  <c r="E93" i="6"/>
  <c r="E103" i="6"/>
  <c r="S95" i="24"/>
  <c r="E113" i="6"/>
  <c r="E123" i="6"/>
  <c r="S115" i="24"/>
  <c r="E133" i="6"/>
  <c r="E146" i="6"/>
  <c r="E150" i="6"/>
  <c r="S142" i="24"/>
  <c r="F85" i="6"/>
  <c r="T77" i="24"/>
  <c r="F93" i="6"/>
  <c r="F103" i="6"/>
  <c r="F113" i="6"/>
  <c r="T105" i="24"/>
  <c r="F123" i="6"/>
  <c r="T115" i="24"/>
  <c r="F133" i="6"/>
  <c r="F146" i="6"/>
  <c r="T138" i="24"/>
  <c r="F150" i="6"/>
  <c r="T142" i="24"/>
  <c r="Q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Q85" i="24"/>
  <c r="S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T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Q129" i="24"/>
  <c r="T129" i="24"/>
  <c r="Q130" i="24"/>
  <c r="R130" i="24"/>
  <c r="S130" i="24"/>
  <c r="T130" i="24"/>
  <c r="U130" i="24"/>
  <c r="Q131" i="24"/>
  <c r="R131" i="24"/>
  <c r="S131" i="24"/>
  <c r="T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/>
  <c r="C18" i="6"/>
  <c r="Q11" i="24"/>
  <c r="C38" i="6"/>
  <c r="C48" i="6"/>
  <c r="Q41" i="24"/>
  <c r="C58" i="6"/>
  <c r="Q51" i="24"/>
  <c r="C71" i="6"/>
  <c r="Q64" i="24"/>
  <c r="C75" i="6"/>
  <c r="Q68" i="24"/>
  <c r="D10" i="6"/>
  <c r="D9" i="6"/>
  <c r="D18" i="6"/>
  <c r="R11" i="24"/>
  <c r="R21" i="24"/>
  <c r="D38" i="6"/>
  <c r="D48" i="6"/>
  <c r="D58" i="6"/>
  <c r="R51" i="24"/>
  <c r="D71" i="6"/>
  <c r="R64" i="24"/>
  <c r="D75" i="6"/>
  <c r="R68" i="24"/>
  <c r="E18" i="6"/>
  <c r="E28" i="6"/>
  <c r="E38" i="6"/>
  <c r="E48" i="6"/>
  <c r="S41" i="24"/>
  <c r="E58" i="6"/>
  <c r="E71" i="6"/>
  <c r="S64" i="24"/>
  <c r="E75" i="6"/>
  <c r="S68" i="24"/>
  <c r="F18" i="6"/>
  <c r="T11" i="24"/>
  <c r="F28" i="6"/>
  <c r="T21" i="24"/>
  <c r="F38" i="6"/>
  <c r="F48" i="6"/>
  <c r="T41" i="24"/>
  <c r="F58" i="6"/>
  <c r="F71" i="6"/>
  <c r="T64" i="24"/>
  <c r="F75" i="6"/>
  <c r="G71" i="6"/>
  <c r="U64" i="24"/>
  <c r="B85" i="6"/>
  <c r="P77" i="24"/>
  <c r="B93" i="6"/>
  <c r="P85" i="24"/>
  <c r="B103" i="6"/>
  <c r="B113" i="6"/>
  <c r="B123" i="6"/>
  <c r="P115" i="24"/>
  <c r="B133" i="6"/>
  <c r="P125" i="24"/>
  <c r="B146" i="6"/>
  <c r="P138" i="24"/>
  <c r="B150" i="6"/>
  <c r="P142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S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Q10" i="24"/>
  <c r="R10" i="24"/>
  <c r="S10" i="24"/>
  <c r="T10" i="24"/>
  <c r="S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Q31" i="24"/>
  <c r="R31" i="24"/>
  <c r="S31" i="24"/>
  <c r="T31" i="24"/>
  <c r="Q32" i="24"/>
  <c r="R32" i="24"/>
  <c r="S32" i="24"/>
  <c r="T32" i="24"/>
  <c r="U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R41" i="24"/>
  <c r="Q42" i="24"/>
  <c r="R42" i="24"/>
  <c r="S42" i="24"/>
  <c r="T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U63" i="24"/>
  <c r="Q65" i="24"/>
  <c r="R65" i="24"/>
  <c r="S65" i="24"/>
  <c r="T65" i="24"/>
  <c r="Q66" i="24"/>
  <c r="R66" i="24"/>
  <c r="S66" i="24"/>
  <c r="T66" i="24"/>
  <c r="Q67" i="24"/>
  <c r="R67" i="24"/>
  <c r="S67" i="24"/>
  <c r="T67" i="24"/>
  <c r="U67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5" i="20"/>
  <c r="U6" i="20"/>
  <c r="U7" i="20"/>
  <c r="U11" i="20"/>
  <c r="U12" i="20"/>
  <c r="U13" i="20"/>
  <c r="U15" i="20"/>
  <c r="U16" i="20"/>
  <c r="U17" i="20"/>
  <c r="U19" i="20"/>
  <c r="U20" i="20"/>
  <c r="U21" i="20"/>
  <c r="U23" i="20"/>
  <c r="U26" i="20"/>
  <c r="U28" i="20"/>
  <c r="G46" i="5"/>
  <c r="G47" i="5"/>
  <c r="U39" i="20"/>
  <c r="G48" i="5"/>
  <c r="U40" i="20"/>
  <c r="G49" i="5"/>
  <c r="U41" i="20"/>
  <c r="G50" i="5"/>
  <c r="G51" i="5"/>
  <c r="G52" i="5"/>
  <c r="U44" i="20"/>
  <c r="G53" i="5"/>
  <c r="U38" i="20"/>
  <c r="U42" i="20"/>
  <c r="U43" i="20"/>
  <c r="U45" i="20"/>
  <c r="G55" i="5"/>
  <c r="G56" i="5"/>
  <c r="U48" i="20"/>
  <c r="G57" i="5"/>
  <c r="U49" i="20"/>
  <c r="G58" i="5"/>
  <c r="U50" i="20"/>
  <c r="U47" i="20"/>
  <c r="G60" i="5"/>
  <c r="U52" i="20"/>
  <c r="G61" i="5"/>
  <c r="U53" i="20"/>
  <c r="G62" i="5"/>
  <c r="U54" i="20"/>
  <c r="G63" i="5"/>
  <c r="U55" i="20"/>
  <c r="G68" i="5"/>
  <c r="U58" i="20"/>
  <c r="G67" i="5"/>
  <c r="U57" i="20"/>
  <c r="G73" i="5"/>
  <c r="U60" i="20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C41" i="5"/>
  <c r="Q34" i="20"/>
  <c r="D35" i="5"/>
  <c r="R29" i="20"/>
  <c r="E35" i="5"/>
  <c r="E41" i="5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P37" i="20"/>
  <c r="B54" i="5"/>
  <c r="P46" i="20"/>
  <c r="B59" i="5"/>
  <c r="P51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28" i="5"/>
  <c r="B35" i="5"/>
  <c r="P29" i="20"/>
  <c r="B37" i="5"/>
  <c r="P31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I25" i="23"/>
  <c r="D23" i="23"/>
  <c r="B6" i="11"/>
  <c r="I23" i="23"/>
  <c r="G6" i="11"/>
  <c r="H23" i="23"/>
  <c r="F6" i="10"/>
  <c r="F6" i="11"/>
  <c r="G23" i="23"/>
  <c r="E6" i="11"/>
  <c r="F23" i="23"/>
  <c r="D6" i="11"/>
  <c r="D6" i="10"/>
  <c r="E23" i="23"/>
  <c r="C6" i="11"/>
  <c r="G6" i="10"/>
  <c r="E6" i="10"/>
  <c r="B6" i="10"/>
  <c r="G5" i="13"/>
  <c r="G5" i="12"/>
  <c r="C11" i="23"/>
  <c r="A2" i="12"/>
  <c r="A5" i="9"/>
  <c r="A5" i="8"/>
  <c r="A5" i="7"/>
  <c r="A5" i="6"/>
  <c r="A4" i="5"/>
  <c r="A4" i="4"/>
  <c r="A4" i="3"/>
  <c r="A4" i="2"/>
  <c r="A4" i="1"/>
  <c r="K15" i="3"/>
  <c r="K16" i="3"/>
  <c r="K17" i="3"/>
  <c r="K14" i="3"/>
  <c r="Y4" i="17" s="1"/>
  <c r="K18" i="3"/>
  <c r="J14" i="3"/>
  <c r="X4" i="17"/>
  <c r="I14" i="3"/>
  <c r="W4" i="17" s="1"/>
  <c r="I8" i="3"/>
  <c r="W3" i="17"/>
  <c r="H14" i="3"/>
  <c r="V4" i="17" s="1"/>
  <c r="G14" i="3"/>
  <c r="G20" i="3"/>
  <c r="U5" i="17" s="1"/>
  <c r="E14" i="3"/>
  <c r="S4" i="17"/>
  <c r="K9" i="3"/>
  <c r="K8" i="3"/>
  <c r="K10" i="3"/>
  <c r="K11" i="3"/>
  <c r="K12" i="3"/>
  <c r="J8" i="3"/>
  <c r="J20" i="3" s="1"/>
  <c r="X5" i="17" s="1"/>
  <c r="X3" i="17"/>
  <c r="H8" i="3"/>
  <c r="V3" i="17" s="1"/>
  <c r="G8" i="3"/>
  <c r="E8" i="3"/>
  <c r="E20" i="3" s="1"/>
  <c r="S5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/>
  <c r="D22" i="2"/>
  <c r="R14" i="16"/>
  <c r="C22" i="2"/>
  <c r="Q14" i="16"/>
  <c r="B22" i="2"/>
  <c r="P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/>
  <c r="B68" i="4"/>
  <c r="B64" i="4"/>
  <c r="P33" i="18"/>
  <c r="B63" i="4"/>
  <c r="B72" i="4"/>
  <c r="B55" i="4"/>
  <c r="B53" i="4"/>
  <c r="P30" i="18"/>
  <c r="B49" i="4"/>
  <c r="B48" i="4"/>
  <c r="P26" i="18"/>
  <c r="B37" i="4"/>
  <c r="P19" i="18"/>
  <c r="B29" i="4"/>
  <c r="B17" i="4"/>
  <c r="B13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28" i="18"/>
  <c r="P29" i="18"/>
  <c r="P20" i="18"/>
  <c r="P21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47" i="1"/>
  <c r="F27" i="1"/>
  <c r="Q76" i="15"/>
  <c r="F31" i="1"/>
  <c r="Q80" i="15"/>
  <c r="F38" i="1"/>
  <c r="Q87" i="15"/>
  <c r="F42" i="1"/>
  <c r="Q91" i="15"/>
  <c r="F63" i="1"/>
  <c r="Q106" i="15"/>
  <c r="Q107" i="15"/>
  <c r="Q108" i="15"/>
  <c r="Q109" i="15"/>
  <c r="Q110" i="15"/>
  <c r="Q111" i="15"/>
  <c r="Q112" i="15"/>
  <c r="Q113" i="15"/>
  <c r="Q114" i="15"/>
  <c r="Q115" i="15"/>
  <c r="F75" i="1"/>
  <c r="Q116" i="15"/>
  <c r="Q117" i="15"/>
  <c r="Q118" i="15"/>
  <c r="E9" i="1"/>
  <c r="P57" i="15"/>
  <c r="E19" i="1"/>
  <c r="P67" i="15"/>
  <c r="E23" i="1"/>
  <c r="P71" i="15"/>
  <c r="E27" i="1"/>
  <c r="P76" i="15"/>
  <c r="E31" i="1"/>
  <c r="P80" i="15"/>
  <c r="E38" i="1"/>
  <c r="P87" i="15"/>
  <c r="E42" i="1"/>
  <c r="P91" i="15"/>
  <c r="E57" i="1"/>
  <c r="P103" i="15"/>
  <c r="E63" i="1"/>
  <c r="P106" i="15"/>
  <c r="P110" i="15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33" i="15"/>
  <c r="P33" i="15"/>
  <c r="A33" i="15"/>
  <c r="A55" i="15"/>
  <c r="C17" i="1"/>
  <c r="Q12" i="15"/>
  <c r="C25" i="1"/>
  <c r="Q20" i="15"/>
  <c r="C31" i="1"/>
  <c r="Q26" i="15"/>
  <c r="C41" i="1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3" i="15"/>
  <c r="P14" i="15"/>
  <c r="P15" i="15"/>
  <c r="P16" i="15"/>
  <c r="P17" i="15"/>
  <c r="P18" i="15"/>
  <c r="P19" i="15"/>
  <c r="B25" i="1"/>
  <c r="B47" i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R37" i="18"/>
  <c r="C68" i="4"/>
  <c r="D68" i="4"/>
  <c r="R36" i="18"/>
  <c r="C64" i="4"/>
  <c r="Q33" i="18"/>
  <c r="D64" i="4"/>
  <c r="R33" i="18"/>
  <c r="C63" i="4"/>
  <c r="D63" i="4"/>
  <c r="R32" i="18"/>
  <c r="C48" i="4"/>
  <c r="C55" i="4"/>
  <c r="Q31" i="18"/>
  <c r="D55" i="4"/>
  <c r="C53" i="4"/>
  <c r="D53" i="4"/>
  <c r="R30" i="18"/>
  <c r="D48" i="4"/>
  <c r="D57" i="4"/>
  <c r="D59" i="4"/>
  <c r="C49" i="4"/>
  <c r="C57" i="4"/>
  <c r="C59" i="4"/>
  <c r="D49" i="4"/>
  <c r="C29" i="4"/>
  <c r="Q15" i="18"/>
  <c r="D29" i="4"/>
  <c r="C40" i="4"/>
  <c r="Q22" i="18"/>
  <c r="D40" i="4"/>
  <c r="R22" i="18"/>
  <c r="C37" i="4"/>
  <c r="Q19" i="18"/>
  <c r="D37" i="4"/>
  <c r="R19" i="18"/>
  <c r="C17" i="4"/>
  <c r="C13" i="4"/>
  <c r="Q6" i="18"/>
  <c r="D13" i="4"/>
  <c r="R6" i="18"/>
  <c r="U4" i="17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E8" i="2"/>
  <c r="F9" i="2"/>
  <c r="T4" i="16"/>
  <c r="G9" i="2"/>
  <c r="U4" i="16"/>
  <c r="H9" i="2"/>
  <c r="V4" i="16"/>
  <c r="B9" i="2"/>
  <c r="P4" i="16"/>
  <c r="Q9" i="18"/>
  <c r="R31" i="18"/>
  <c r="Q32" i="18"/>
  <c r="Q36" i="18"/>
  <c r="R15" i="18"/>
  <c r="Q26" i="18"/>
  <c r="Q37" i="18"/>
  <c r="U8" i="16"/>
  <c r="F8" i="2"/>
  <c r="F20" i="2"/>
  <c r="T13" i="16"/>
  <c r="C8" i="2"/>
  <c r="Q3" i="16"/>
  <c r="G29" i="13"/>
  <c r="U22" i="31"/>
  <c r="C29" i="13"/>
  <c r="Q22" i="31"/>
  <c r="E29" i="13"/>
  <c r="S22" i="31"/>
  <c r="U2" i="31"/>
  <c r="S2" i="31"/>
  <c r="Q2" i="31"/>
  <c r="F29" i="13"/>
  <c r="T22" i="31"/>
  <c r="D29" i="13"/>
  <c r="R22" i="31"/>
  <c r="S23" i="30"/>
  <c r="C31" i="12"/>
  <c r="Q23" i="30"/>
  <c r="D31" i="12"/>
  <c r="R23" i="30"/>
  <c r="Q2" i="30"/>
  <c r="R2" i="30"/>
  <c r="B31" i="12"/>
  <c r="P23" i="30"/>
  <c r="S2" i="30"/>
  <c r="F30" i="11"/>
  <c r="T22" i="29"/>
  <c r="G30" i="11"/>
  <c r="U22" i="29"/>
  <c r="B30" i="11"/>
  <c r="P22" i="29"/>
  <c r="U2" i="29"/>
  <c r="S2" i="29"/>
  <c r="B32" i="10"/>
  <c r="P23" i="28"/>
  <c r="P2" i="28"/>
  <c r="E21" i="9"/>
  <c r="S13" i="27"/>
  <c r="C21" i="9"/>
  <c r="Q13" i="27"/>
  <c r="B21" i="9"/>
  <c r="P13" i="27"/>
  <c r="T16" i="27"/>
  <c r="D33" i="9"/>
  <c r="R24" i="27"/>
  <c r="G21" i="9"/>
  <c r="U13" i="27"/>
  <c r="S16" i="27"/>
  <c r="P9" i="27"/>
  <c r="U5" i="27"/>
  <c r="G9" i="9"/>
  <c r="G33" i="9"/>
  <c r="U24" i="27"/>
  <c r="U7" i="27"/>
  <c r="F43" i="8"/>
  <c r="T35" i="26"/>
  <c r="B43" i="8"/>
  <c r="P35" i="26"/>
  <c r="E43" i="8"/>
  <c r="E77" i="8"/>
  <c r="S68" i="26"/>
  <c r="S35" i="26"/>
  <c r="D43" i="8"/>
  <c r="R35" i="26"/>
  <c r="G61" i="8"/>
  <c r="U53" i="26"/>
  <c r="S45" i="26"/>
  <c r="G43" i="8"/>
  <c r="U35" i="26"/>
  <c r="U36" i="26"/>
  <c r="U31" i="26"/>
  <c r="B9" i="8"/>
  <c r="B77" i="8"/>
  <c r="P68" i="26"/>
  <c r="F9" i="8"/>
  <c r="T2" i="26"/>
  <c r="E9" i="8"/>
  <c r="S2" i="26"/>
  <c r="S12" i="26"/>
  <c r="P2" i="26"/>
  <c r="U3" i="26"/>
  <c r="E9" i="6"/>
  <c r="S21" i="24"/>
  <c r="U140" i="24"/>
  <c r="G75" i="6"/>
  <c r="U68" i="24"/>
  <c r="U147" i="24"/>
  <c r="U108" i="24"/>
  <c r="G123" i="6"/>
  <c r="U115" i="24"/>
  <c r="G18" i="6"/>
  <c r="U11" i="24"/>
  <c r="G62" i="6"/>
  <c r="U55" i="24"/>
  <c r="G85" i="6"/>
  <c r="G137" i="6"/>
  <c r="U129" i="24"/>
  <c r="U131" i="24"/>
  <c r="G133" i="6"/>
  <c r="U125" i="24"/>
  <c r="B84" i="6"/>
  <c r="P76" i="24"/>
  <c r="C84" i="6"/>
  <c r="Q76" i="24"/>
  <c r="D84" i="6"/>
  <c r="R76" i="24"/>
  <c r="S105" i="24"/>
  <c r="Q95" i="24"/>
  <c r="P95" i="24"/>
  <c r="F84" i="6"/>
  <c r="T76" i="24"/>
  <c r="T85" i="24"/>
  <c r="U77" i="24"/>
  <c r="U79" i="24"/>
  <c r="U56" i="24"/>
  <c r="U14" i="24"/>
  <c r="B9" i="6"/>
  <c r="G48" i="6"/>
  <c r="U41" i="24"/>
  <c r="T51" i="24"/>
  <c r="P51" i="24"/>
  <c r="G10" i="6"/>
  <c r="U3" i="24"/>
  <c r="G75" i="5"/>
  <c r="U62" i="20"/>
  <c r="D65" i="5"/>
  <c r="R56" i="20"/>
  <c r="G59" i="5"/>
  <c r="U51" i="20"/>
  <c r="G54" i="5"/>
  <c r="U46" i="20"/>
  <c r="C65" i="5"/>
  <c r="Q56" i="20"/>
  <c r="B65" i="5"/>
  <c r="P56" i="20"/>
  <c r="G45" i="5"/>
  <c r="U30" i="20"/>
  <c r="G37" i="5"/>
  <c r="U31" i="20"/>
  <c r="B41" i="5"/>
  <c r="P34" i="20"/>
  <c r="U32" i="20"/>
  <c r="F41" i="5"/>
  <c r="F70" i="5"/>
  <c r="P22" i="20"/>
  <c r="G28" i="5"/>
  <c r="U22" i="20"/>
  <c r="U24" i="20"/>
  <c r="U3" i="20"/>
  <c r="R27" i="18"/>
  <c r="P27" i="18"/>
  <c r="B44" i="4"/>
  <c r="P25" i="18"/>
  <c r="D72" i="4"/>
  <c r="R38" i="18"/>
  <c r="D8" i="2"/>
  <c r="R3" i="16"/>
  <c r="F79" i="1"/>
  <c r="Q119" i="15"/>
  <c r="Q57" i="15"/>
  <c r="C47" i="1"/>
  <c r="Q42" i="15"/>
  <c r="A2" i="13"/>
  <c r="A2" i="14"/>
  <c r="A2" i="10"/>
  <c r="A2" i="11"/>
  <c r="A2" i="7"/>
  <c r="A2" i="2"/>
  <c r="A2" i="6"/>
  <c r="A2" i="8"/>
  <c r="A2" i="9"/>
  <c r="A2" i="5"/>
  <c r="A2" i="1"/>
  <c r="A2" i="4"/>
  <c r="A2" i="3"/>
  <c r="U3" i="17"/>
  <c r="S14" i="16"/>
  <c r="R2" i="25"/>
  <c r="B159" i="6"/>
  <c r="P150" i="24"/>
  <c r="D159" i="6"/>
  <c r="R150" i="24"/>
  <c r="P2" i="24"/>
  <c r="R2" i="24"/>
  <c r="U37" i="20"/>
  <c r="G65" i="5"/>
  <c r="U56" i="20"/>
  <c r="B70" i="5"/>
  <c r="D74" i="4"/>
  <c r="R39" i="18"/>
  <c r="G31" i="12"/>
  <c r="U23" i="30"/>
  <c r="Q2" i="25"/>
  <c r="U29" i="20"/>
  <c r="D41" i="5"/>
  <c r="Q29" i="20"/>
  <c r="H20" i="3"/>
  <c r="V5" i="17"/>
  <c r="R34" i="20"/>
  <c r="D70" i="5"/>
  <c r="G32" i="10"/>
  <c r="U23" i="28"/>
  <c r="D32" i="10"/>
  <c r="R23" i="28"/>
  <c r="E32" i="10"/>
  <c r="S23" i="28"/>
  <c r="F32" i="10"/>
  <c r="T23" i="28"/>
  <c r="F77" i="8"/>
  <c r="T68" i="26"/>
  <c r="D9" i="8"/>
  <c r="R2" i="26"/>
  <c r="C9" i="8"/>
  <c r="E24" i="7"/>
  <c r="S4" i="25" s="1"/>
  <c r="G58" i="6"/>
  <c r="U51" i="24"/>
  <c r="G28" i="6"/>
  <c r="U21" i="24"/>
  <c r="S2" i="24"/>
  <c r="F9" i="6"/>
  <c r="U23" i="24"/>
  <c r="Q21" i="24"/>
  <c r="U8" i="20"/>
  <c r="C70" i="5"/>
  <c r="Q30" i="18"/>
  <c r="R26" i="18"/>
  <c r="P12" i="15"/>
  <c r="D77" i="8"/>
  <c r="R68" i="26"/>
  <c r="C77" i="8"/>
  <c r="Q68" i="26"/>
  <c r="Q2" i="26"/>
  <c r="T2" i="24"/>
  <c r="U2" i="25"/>
  <c r="P2" i="25"/>
  <c r="B62" i="1"/>
  <c r="P54" i="15"/>
  <c r="P42" i="15"/>
  <c r="Y3" i="17"/>
  <c r="B33" i="9"/>
  <c r="P24" i="27"/>
  <c r="P2" i="27"/>
  <c r="Q95" i="15"/>
  <c r="F59" i="1"/>
  <c r="E20" i="2"/>
  <c r="S13" i="16"/>
  <c r="S3" i="16"/>
  <c r="P38" i="18"/>
  <c r="B74" i="4"/>
  <c r="P39" i="18"/>
  <c r="S34" i="20"/>
  <c r="E70" i="5"/>
  <c r="B8" i="2"/>
  <c r="D44" i="4"/>
  <c r="E47" i="1"/>
  <c r="I20" i="3"/>
  <c r="W5" i="17"/>
  <c r="F159" i="6"/>
  <c r="T150" i="24"/>
  <c r="T34" i="20"/>
  <c r="U2" i="27"/>
  <c r="D20" i="2"/>
  <c r="R13" i="16"/>
  <c r="E79" i="1"/>
  <c r="P119" i="15"/>
  <c r="G8" i="2"/>
  <c r="B11" i="4"/>
  <c r="C72" i="4"/>
  <c r="C20" i="2"/>
  <c r="Q13" i="16"/>
  <c r="T3" i="16"/>
  <c r="H8" i="2"/>
  <c r="S4" i="16"/>
  <c r="Q27" i="18"/>
  <c r="P20" i="15"/>
  <c r="S29" i="20"/>
  <c r="E84" i="6"/>
  <c r="S76" i="24"/>
  <c r="S77" i="24"/>
  <c r="B24" i="7"/>
  <c r="P4" i="25"/>
  <c r="T2" i="25"/>
  <c r="F9" i="9"/>
  <c r="T2" i="27"/>
  <c r="T5" i="27"/>
  <c r="C30" i="11"/>
  <c r="Q22" i="29"/>
  <c r="Q2" i="29"/>
  <c r="F31" i="12"/>
  <c r="T23" i="30"/>
  <c r="T15" i="30"/>
  <c r="B29" i="13"/>
  <c r="P22" i="31"/>
  <c r="P12" i="31"/>
  <c r="R3" i="24"/>
  <c r="R5" i="27"/>
  <c r="C9" i="9"/>
  <c r="C62" i="1"/>
  <c r="Q54" i="15"/>
  <c r="C44" i="4"/>
  <c r="B57" i="4"/>
  <c r="B59" i="4"/>
  <c r="C6" i="10"/>
  <c r="G9" i="6"/>
  <c r="C9" i="6"/>
  <c r="F21" i="9"/>
  <c r="E9" i="9"/>
  <c r="D30" i="11"/>
  <c r="R22" i="29"/>
  <c r="G41" i="5"/>
  <c r="G113" i="6"/>
  <c r="G19" i="8"/>
  <c r="U12" i="26"/>
  <c r="U64" i="26"/>
  <c r="Q2" i="24"/>
  <c r="C159" i="6"/>
  <c r="Q150" i="24"/>
  <c r="E33" i="9"/>
  <c r="S24" i="27"/>
  <c r="S2" i="27"/>
  <c r="U2" i="24"/>
  <c r="Q38" i="18"/>
  <c r="C74" i="4"/>
  <c r="Q39" i="18"/>
  <c r="C11" i="4"/>
  <c r="Q25" i="18"/>
  <c r="G9" i="8"/>
  <c r="H20" i="2"/>
  <c r="V13" i="16"/>
  <c r="V3" i="16"/>
  <c r="P5" i="18"/>
  <c r="B8" i="4"/>
  <c r="E59" i="1"/>
  <c r="P95" i="15"/>
  <c r="B20" i="2"/>
  <c r="P13" i="16"/>
  <c r="P3" i="16"/>
  <c r="U105" i="24"/>
  <c r="G84" i="6"/>
  <c r="U76" i="24"/>
  <c r="T13" i="27"/>
  <c r="F33" i="9"/>
  <c r="T24" i="27"/>
  <c r="U34" i="20"/>
  <c r="G70" i="5"/>
  <c r="G42" i="5"/>
  <c r="U35" i="20"/>
  <c r="Q2" i="27"/>
  <c r="C33" i="9"/>
  <c r="Q24" i="27"/>
  <c r="G20" i="2"/>
  <c r="U13" i="16"/>
  <c r="U3" i="16"/>
  <c r="R25" i="18"/>
  <c r="D11" i="4"/>
  <c r="Q104" i="15"/>
  <c r="F81" i="1"/>
  <c r="Q120" i="15"/>
  <c r="E159" i="6"/>
  <c r="S150" i="24"/>
  <c r="R5" i="18"/>
  <c r="D8" i="4"/>
  <c r="E81" i="1"/>
  <c r="P120" i="15"/>
  <c r="P104" i="15"/>
  <c r="P2" i="18"/>
  <c r="B21" i="4"/>
  <c r="G77" i="8"/>
  <c r="U68" i="26"/>
  <c r="U2" i="26"/>
  <c r="G159" i="6"/>
  <c r="U150" i="24"/>
  <c r="C8" i="4"/>
  <c r="Q5" i="18"/>
  <c r="Q2" i="18"/>
  <c r="C21" i="4"/>
  <c r="B23" i="4"/>
  <c r="P12" i="18"/>
  <c r="D21" i="4"/>
  <c r="R2" i="18"/>
  <c r="B25" i="4"/>
  <c r="P13" i="18"/>
  <c r="Q12" i="18"/>
  <c r="C23" i="4"/>
  <c r="R12" i="18"/>
  <c r="D23" i="4"/>
  <c r="C25" i="4"/>
  <c r="Q13" i="18"/>
  <c r="D25" i="4"/>
  <c r="R13" i="18"/>
  <c r="B33" i="4"/>
  <c r="P18" i="18"/>
  <c r="P14" i="18"/>
  <c r="R14" i="18"/>
  <c r="D33" i="4"/>
  <c r="R18" i="18"/>
  <c r="Q14" i="18"/>
  <c r="C33" i="4"/>
  <c r="Q18" i="18"/>
  <c r="C24" i="7" l="1"/>
  <c r="Q4" i="25" s="1"/>
  <c r="K20" i="3"/>
  <c r="Y5" i="17" s="1"/>
  <c r="S3" i="17"/>
</calcChain>
</file>

<file path=xl/sharedStrings.xml><?xml version="1.0" encoding="utf-8"?>
<sst xmlns="http://schemas.openxmlformats.org/spreadsheetml/2006/main" count="4238" uniqueCount="3308">
  <si>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</si>
  <si>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</si>
  <si>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</si>
  <si>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</si>
  <si>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</si>
  <si>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</si>
  <si>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</si>
  <si>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</si>
  <si>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</si>
  <si>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</si>
  <si>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</si>
  <si>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</si>
  <si>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</si>
  <si>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</si>
  <si>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</si>
  <si>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</si>
  <si>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</si>
  <si>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</si>
  <si>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</si>
  <si>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</si>
  <si>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</si>
  <si>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</si>
  <si>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</si>
  <si>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</si>
  <si>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</si>
  <si>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</si>
  <si>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</si>
  <si>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</si>
  <si>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</si>
  <si>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</si>
  <si>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</si>
  <si>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</si>
  <si>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</si>
  <si>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</si>
  <si>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</si>
  <si>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</si>
  <si>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</si>
  <si>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</si>
  <si>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</si>
  <si>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</si>
  <si>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</si>
  <si>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</si>
  <si>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</si>
  <si>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</si>
  <si>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</si>
  <si>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</si>
  <si>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</si>
  <si>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</si>
  <si>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</si>
  <si>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</si>
  <si>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</si>
  <si>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</si>
  <si>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</si>
  <si>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</si>
  <si>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</si>
  <si>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</si>
  <si>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</si>
  <si>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</si>
  <si>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</si>
  <si>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</si>
  <si>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</si>
  <si>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</si>
  <si>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</si>
  <si>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</si>
  <si>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</si>
  <si>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</si>
  <si>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</si>
  <si>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</si>
  <si>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</si>
  <si>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</si>
  <si>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</si>
  <si>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</si>
  <si>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</si>
  <si>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</si>
  <si>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</si>
  <si>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</si>
  <si>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</si>
  <si>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</si>
  <si>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</si>
  <si>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</si>
  <si>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</si>
  <si>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</si>
  <si>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</si>
  <si>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</si>
  <si>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</si>
  <si>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</si>
  <si>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</si>
  <si>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</si>
  <si>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</si>
  <si>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</si>
  <si>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</si>
  <si>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</si>
  <si>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</si>
  <si>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</si>
  <si>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</si>
  <si>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</si>
  <si>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</si>
  <si>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</si>
  <si>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</si>
  <si>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</si>
  <si>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</si>
  <si>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</si>
  <si>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</si>
  <si>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</si>
  <si>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</si>
  <si>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</si>
  <si>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</si>
  <si>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</si>
  <si>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</si>
  <si>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</si>
  <si>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</si>
  <si>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</si>
  <si>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</si>
  <si>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</si>
  <si>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</si>
  <si>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</si>
  <si>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</si>
  <si>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</si>
  <si>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</si>
  <si>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</si>
  <si>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</si>
  <si>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</si>
  <si>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</si>
  <si>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</si>
  <si>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</si>
  <si>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</si>
  <si>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</si>
  <si>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</si>
  <si>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</si>
  <si>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</si>
  <si>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</si>
  <si>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</si>
  <si>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</si>
  <si>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</si>
  <si>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</si>
  <si>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</si>
  <si>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</si>
  <si>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</si>
  <si>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</si>
  <si>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</si>
  <si>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</si>
  <si>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</si>
  <si>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</si>
  <si>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</si>
  <si>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</si>
  <si>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</si>
  <si>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</si>
  <si>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</si>
  <si>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</si>
  <si>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</si>
  <si>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</si>
  <si>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</si>
  <si>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</si>
  <si>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</si>
  <si>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</si>
  <si>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</si>
  <si>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</si>
  <si>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</si>
  <si>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</si>
  <si>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</si>
  <si>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</si>
  <si>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</si>
  <si>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</si>
  <si>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</si>
  <si>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</si>
  <si>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</si>
  <si>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</si>
  <si>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</si>
  <si>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</si>
  <si>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</si>
  <si>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</si>
  <si>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</si>
  <si>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</si>
  <si>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</si>
  <si>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</si>
  <si>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</si>
  <si>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</si>
  <si>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</si>
  <si>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</si>
  <si>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</si>
  <si>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</si>
  <si>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</si>
  <si>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</si>
  <si>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</si>
  <si>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</si>
  <si>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</si>
  <si>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</si>
  <si>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</si>
  <si>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</si>
  <si>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</si>
  <si>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</si>
  <si>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</si>
  <si>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</si>
  <si>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</si>
  <si>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</si>
  <si>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</si>
  <si>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</si>
  <si>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</si>
  <si>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</si>
  <si>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</si>
  <si>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</si>
  <si>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</si>
  <si>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</si>
  <si>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</si>
  <si>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</si>
  <si>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</si>
  <si>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</si>
  <si>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</si>
  <si>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</si>
  <si>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</si>
  <si>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</si>
  <si>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</si>
  <si>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</si>
  <si>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</si>
  <si>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</si>
  <si>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</si>
  <si>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</si>
  <si>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</si>
  <si>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</si>
  <si>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</si>
  <si>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</si>
  <si>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</si>
  <si>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</si>
  <si>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</si>
  <si>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</si>
  <si>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</si>
  <si>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</si>
  <si>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</si>
  <si>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</si>
  <si>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</si>
  <si>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</si>
  <si>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</si>
  <si>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</si>
  <si>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</si>
  <si>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</si>
  <si>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</si>
  <si>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</si>
  <si>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</si>
  <si>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</si>
  <si>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</si>
  <si>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</si>
  <si>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</si>
  <si>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</si>
  <si>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</si>
  <si>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</si>
  <si>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</si>
  <si>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</si>
  <si>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</si>
  <si>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</si>
  <si>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</si>
  <si>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</si>
  <si>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</si>
  <si>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</si>
  <si>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</si>
  <si>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</si>
  <si>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</si>
  <si>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</si>
  <si>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</si>
  <si>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</si>
  <si>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</si>
  <si>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</si>
  <si>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</si>
  <si>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</si>
  <si>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</si>
  <si>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</si>
  <si>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</si>
  <si>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</si>
  <si>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</si>
  <si>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</si>
  <si>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</si>
  <si>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</si>
  <si>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</si>
  <si>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</si>
  <si>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</si>
  <si>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</si>
  <si>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</si>
  <si>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</si>
  <si>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</si>
  <si>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</si>
  <si>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</si>
  <si>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</si>
  <si>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</si>
  <si>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</si>
  <si>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</si>
  <si>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</si>
  <si>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</si>
  <si>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</si>
  <si>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</si>
  <si>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</si>
  <si>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</si>
  <si>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</si>
  <si>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</si>
  <si>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</si>
  <si>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</si>
  <si>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</si>
  <si>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</si>
  <si>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</si>
  <si>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</si>
  <si>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</si>
  <si>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</si>
  <si>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</si>
  <si>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</si>
  <si>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</si>
  <si>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</si>
  <si>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</si>
  <si>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</si>
  <si>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</si>
  <si>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</si>
  <si>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</si>
  <si>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</si>
  <si>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</si>
  <si>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</si>
  <si>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</si>
  <si>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</si>
  <si>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</si>
  <si>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</si>
  <si>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</si>
  <si>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</si>
  <si>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</si>
  <si>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</si>
  <si>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</si>
  <si>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</si>
  <si>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</si>
  <si>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</si>
  <si>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</si>
  <si>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</si>
  <si>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</si>
  <si>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</si>
  <si>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</si>
  <si>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</si>
  <si>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</si>
  <si>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</si>
  <si>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</si>
  <si>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</si>
  <si>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</si>
  <si>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</si>
  <si>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</si>
  <si>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</si>
  <si>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</si>
  <si>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</si>
  <si>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</si>
  <si>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</si>
  <si>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</si>
  <si>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</si>
  <si>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</si>
  <si>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</si>
  <si>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</si>
  <si>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</si>
  <si>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</si>
  <si>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</si>
  <si>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</si>
  <si>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</si>
  <si>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</si>
  <si>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</si>
  <si>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</si>
  <si>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</si>
  <si>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</si>
  <si>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</si>
  <si>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</si>
  <si>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</si>
  <si>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</si>
  <si>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</si>
  <si>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</si>
  <si>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</si>
  <si>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</si>
  <si>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</si>
  <si>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</si>
  <si>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</si>
  <si>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</si>
  <si>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</si>
  <si>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</si>
  <si>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</si>
  <si>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</si>
  <si>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</si>
  <si>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</si>
  <si>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</si>
  <si>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</si>
  <si>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</si>
  <si>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</si>
  <si>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</si>
  <si>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</si>
  <si>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</si>
  <si>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</si>
  <si>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</si>
  <si>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</si>
  <si>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</si>
  <si>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</si>
  <si>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</si>
  <si>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</si>
  <si>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</si>
  <si>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</si>
  <si>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</si>
  <si>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</si>
  <si>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</si>
  <si>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</si>
  <si>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</si>
  <si>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</si>
  <si>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</si>
  <si>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</si>
  <si>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</si>
  <si>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</si>
  <si>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</si>
  <si>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</si>
  <si>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</si>
  <si>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</si>
  <si>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</si>
  <si>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</si>
  <si>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</si>
  <si>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</si>
  <si>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</si>
  <si>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</si>
  <si>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</si>
  <si>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</si>
  <si>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</si>
  <si>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</si>
  <si>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</si>
  <si>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</si>
  <si>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</si>
  <si>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</si>
  <si>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</si>
  <si>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</si>
  <si>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</si>
  <si>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</si>
  <si>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</si>
  <si>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</si>
  <si>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</si>
  <si>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</si>
  <si>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</si>
  <si>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</si>
  <si>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</si>
  <si>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</si>
  <si>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</si>
  <si>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</si>
  <si>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</si>
  <si>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</si>
  <si>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</si>
  <si>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</si>
  <si>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</si>
  <si>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</si>
  <si>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</si>
  <si>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</si>
  <si>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</si>
  <si>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</si>
  <si>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</si>
  <si>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</si>
  <si>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</si>
  <si>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</si>
  <si>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</si>
  <si>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</si>
  <si>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</si>
  <si>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</si>
  <si>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</si>
  <si>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</si>
  <si>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</si>
  <si>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</si>
  <si>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</si>
  <si>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</si>
  <si>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</si>
  <si>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</si>
  <si>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</si>
  <si>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</si>
  <si>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</si>
  <si>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</si>
  <si>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</si>
  <si>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</si>
  <si>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</si>
  <si>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</si>
  <si>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</si>
  <si>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</si>
  <si>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</si>
  <si>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</si>
  <si>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</si>
  <si>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</si>
  <si>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</si>
  <si>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</si>
  <si>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</si>
  <si>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</si>
  <si>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</si>
  <si>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</si>
  <si>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</si>
  <si>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</si>
  <si>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</si>
  <si>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</si>
  <si>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</si>
  <si>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</si>
  <si>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</si>
  <si>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</si>
  <si>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</si>
  <si>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</si>
  <si>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</si>
  <si>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</si>
  <si>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</si>
  <si>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</si>
  <si>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</si>
  <si>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</si>
  <si>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</si>
  <si>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</si>
  <si>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</si>
  <si>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</si>
  <si>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</si>
  <si>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</si>
  <si>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</si>
  <si>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</si>
  <si>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</si>
  <si>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</si>
  <si>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</si>
  <si>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</si>
  <si>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</si>
  <si>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</si>
  <si>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</si>
  <si>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</si>
  <si>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</si>
  <si>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</si>
  <si>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</si>
  <si>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</si>
  <si>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</si>
  <si>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</si>
  <si>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</si>
  <si>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</si>
  <si>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</si>
  <si>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</si>
  <si>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</si>
  <si>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</si>
  <si>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</si>
  <si>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</si>
  <si>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</si>
  <si>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</si>
  <si>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</si>
  <si>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</si>
  <si>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</si>
  <si>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</si>
  <si>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</si>
  <si>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</si>
  <si>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</si>
  <si>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</si>
  <si>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</si>
  <si>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</si>
  <si>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</si>
  <si>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</si>
  <si>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</si>
  <si>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</si>
  <si>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</si>
  <si>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</si>
  <si>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</si>
  <si>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</si>
  <si>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</si>
  <si>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</si>
  <si>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</si>
  <si>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</si>
  <si>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</si>
  <si>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</si>
  <si>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</si>
  <si>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</si>
  <si>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</si>
  <si>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</si>
  <si>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</si>
  <si>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</si>
  <si>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</si>
  <si>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</si>
  <si>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</si>
  <si>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</si>
  <si>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</si>
  <si>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</si>
  <si>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</si>
  <si>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</si>
  <si>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</si>
  <si>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</si>
  <si>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</si>
  <si>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</si>
  <si>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</si>
  <si>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</si>
  <si>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</si>
  <si>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</si>
  <si>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</si>
  <si>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</si>
  <si>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</si>
  <si>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</si>
  <si>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</si>
  <si>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</si>
  <si>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</si>
  <si>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</si>
  <si>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</si>
  <si>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</si>
  <si>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</si>
  <si>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</si>
  <si>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</si>
  <si>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</si>
  <si>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</si>
  <si>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</si>
  <si>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</si>
  <si>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</si>
  <si>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</si>
  <si>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</si>
  <si>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</si>
  <si>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</si>
  <si>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</si>
  <si>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</si>
  <si>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</si>
  <si>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</si>
  <si>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</si>
  <si>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</si>
  <si>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</si>
  <si>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</si>
  <si>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</si>
  <si>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</si>
  <si>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</si>
  <si>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</si>
  <si>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</si>
  <si>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</si>
  <si>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</si>
  <si>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</si>
  <si>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</si>
  <si>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</si>
  <si>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</si>
  <si>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</si>
  <si>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</si>
  <si>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</si>
  <si>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</si>
  <si>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</si>
  <si>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</si>
  <si>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</si>
  <si>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</si>
  <si>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</si>
  <si>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</si>
  <si>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</si>
  <si>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</si>
  <si>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</si>
  <si>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</si>
  <si>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</si>
  <si>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</si>
  <si>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</si>
  <si>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</si>
  <si>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</si>
  <si>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</si>
  <si>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</si>
  <si>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</si>
  <si>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</si>
  <si>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</si>
  <si>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</si>
  <si>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</si>
  <si>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</si>
  <si>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</si>
  <si>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</si>
  <si>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</si>
  <si>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</si>
  <si>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</si>
  <si>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</si>
  <si>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</si>
  <si>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</si>
  <si>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</si>
  <si>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</si>
  <si>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</si>
  <si>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</si>
  <si>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</si>
  <si>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</si>
  <si>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</si>
  <si>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</si>
  <si>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</si>
  <si>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</si>
  <si>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</si>
  <si>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</si>
  <si>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</si>
  <si>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</si>
  <si>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</si>
  <si>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</si>
  <si>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</si>
  <si>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</si>
  <si>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</si>
  <si>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</si>
  <si>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</si>
  <si>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</si>
  <si>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</si>
  <si>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</si>
  <si>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</si>
  <si>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</si>
  <si>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</si>
  <si>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</si>
  <si>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</si>
  <si>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</si>
  <si>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</si>
  <si>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</si>
  <si>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</si>
  <si>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</si>
  <si>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</si>
  <si>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</si>
  <si>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</si>
  <si>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</si>
  <si>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</si>
  <si>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</si>
  <si>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</si>
  <si>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</si>
  <si>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</si>
  <si>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</si>
  <si>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</si>
  <si>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</si>
  <si>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</si>
  <si>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</si>
  <si>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</si>
  <si>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</si>
  <si>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</si>
  <si>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</si>
  <si>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</si>
  <si>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</si>
  <si>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</si>
  <si>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</si>
  <si>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</si>
  <si>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</si>
  <si>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</si>
  <si>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</si>
  <si>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</si>
  <si>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</si>
  <si>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</si>
  <si>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</si>
  <si>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</si>
  <si>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</si>
  <si>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</si>
  <si>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</si>
  <si>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</si>
  <si>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</si>
  <si>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</si>
  <si>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</si>
  <si>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</si>
  <si>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</si>
  <si>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</si>
  <si>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</si>
  <si>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</si>
  <si>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</si>
  <si>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</si>
  <si>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</si>
  <si>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</si>
  <si>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</si>
  <si>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</si>
  <si>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</si>
  <si>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</si>
  <si>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</si>
  <si>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</si>
  <si>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</si>
  <si>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</si>
  <si>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</si>
  <si>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</si>
  <si>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</si>
  <si>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</si>
  <si>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</si>
  <si>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</si>
  <si>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</si>
  <si>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</si>
  <si>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</si>
  <si>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</si>
  <si>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</si>
  <si>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</si>
  <si>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</si>
  <si>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</si>
  <si>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</si>
  <si>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</si>
  <si>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</si>
  <si>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</si>
  <si>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</si>
  <si>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</si>
  <si>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</si>
  <si>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</si>
  <si>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</si>
  <si>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</si>
  <si>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</si>
  <si>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</si>
  <si>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</si>
  <si>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</si>
  <si>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</si>
  <si>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</si>
  <si>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</si>
  <si>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</si>
  <si>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</si>
  <si>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</si>
  <si>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</si>
  <si>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</si>
  <si>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</si>
  <si>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</si>
  <si>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</si>
  <si>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</si>
  <si>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</si>
  <si>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</si>
  <si>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</si>
  <si>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</si>
  <si>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</si>
  <si>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</si>
  <si>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</si>
  <si>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</si>
  <si>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</si>
  <si>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</si>
  <si>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</si>
  <si>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</si>
  <si>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</si>
  <si>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</si>
  <si>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</si>
  <si>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</si>
  <si>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</si>
  <si>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</si>
  <si>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</si>
  <si>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</si>
  <si>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</si>
  <si>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</si>
  <si>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</si>
  <si>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</si>
  <si>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</si>
  <si>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</si>
  <si>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</si>
  <si>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</si>
  <si>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</si>
  <si>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</si>
  <si>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</si>
  <si>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</si>
  <si>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</si>
  <si>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</si>
  <si>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</si>
  <si>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</si>
  <si>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</si>
  <si>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</si>
  <si>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</si>
  <si>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</si>
  <si>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</si>
  <si>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</si>
  <si>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</si>
  <si>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</si>
  <si>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</si>
  <si>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</si>
  <si>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</si>
  <si>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</si>
  <si>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</si>
  <si>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</si>
  <si>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</si>
  <si>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</si>
  <si>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</si>
  <si>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</si>
  <si>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</si>
  <si>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</si>
  <si>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</si>
  <si>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</si>
  <si>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</si>
  <si>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</si>
  <si>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</si>
  <si>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</si>
  <si>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</si>
  <si>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</si>
  <si>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</si>
  <si>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</si>
  <si>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</si>
  <si>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</si>
  <si>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</si>
  <si>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</si>
  <si>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</si>
  <si>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</si>
  <si>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</si>
  <si>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</si>
  <si>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</si>
  <si>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</si>
  <si>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</si>
  <si>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</si>
  <si>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</si>
  <si>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</si>
  <si>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</si>
  <si>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</si>
  <si>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</si>
  <si>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</si>
  <si>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</si>
  <si>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</si>
  <si>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</si>
  <si>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</si>
  <si>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</si>
  <si>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</si>
  <si>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</si>
  <si>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</si>
  <si>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</si>
  <si>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</si>
  <si>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</si>
  <si>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</si>
  <si>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</si>
  <si>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</si>
  <si>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</si>
  <si>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</si>
  <si>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</si>
  <si>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</si>
  <si>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</si>
  <si>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</si>
  <si>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</si>
  <si>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</si>
  <si>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</si>
  <si>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</si>
  <si>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</si>
  <si>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</si>
  <si>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</si>
  <si>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</si>
  <si>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</si>
  <si>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</si>
  <si>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</si>
  <si>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</si>
  <si>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</si>
  <si>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</si>
  <si>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</si>
  <si>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</si>
  <si>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</si>
  <si>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</si>
  <si>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</si>
  <si>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</si>
  <si>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</si>
  <si>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</si>
  <si>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</si>
  <si>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</si>
  <si>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</si>
  <si>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</si>
  <si>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</si>
  <si>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</si>
  <si>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</si>
  <si>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</si>
  <si>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</si>
  <si>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</si>
  <si>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</si>
  <si>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</si>
  <si>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</si>
  <si>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</si>
  <si>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</si>
  <si>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</si>
  <si>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</si>
  <si>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</si>
  <si>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</si>
  <si>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</si>
  <si>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</si>
  <si>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</si>
  <si>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</si>
  <si>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</si>
  <si>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</si>
  <si>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</si>
  <si>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</si>
  <si>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</si>
  <si>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</si>
  <si>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</si>
  <si>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</si>
  <si>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</si>
  <si>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</si>
  <si>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</si>
  <si>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</si>
  <si>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</si>
  <si>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</si>
  <si>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</si>
  <si>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</si>
  <si>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</si>
  <si>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</si>
  <si>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</si>
  <si>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</si>
  <si>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</si>
  <si>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</si>
  <si>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</si>
  <si>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</si>
  <si>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</si>
  <si>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</si>
  <si>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</si>
  <si>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</si>
  <si>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</si>
  <si>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</si>
  <si>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</si>
  <si>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</si>
  <si>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</si>
  <si>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</si>
  <si>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</si>
  <si>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</si>
  <si>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</si>
  <si>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</si>
  <si>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</si>
  <si>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</si>
  <si>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</si>
  <si>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</si>
  <si>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</si>
  <si>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</si>
  <si>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</si>
  <si>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</si>
  <si>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</si>
  <si>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</si>
  <si>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</si>
  <si>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</si>
  <si>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</si>
  <si>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</si>
  <si>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</si>
  <si>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</si>
  <si>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</si>
  <si>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</si>
  <si>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</si>
  <si>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</si>
  <si>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</si>
  <si>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</si>
  <si>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</si>
  <si>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</si>
  <si>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</si>
  <si>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</si>
  <si>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</si>
  <si>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</si>
  <si>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</si>
  <si>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</si>
  <si>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</si>
  <si>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</si>
  <si>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</si>
  <si>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</si>
  <si>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</si>
  <si>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</si>
  <si>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</si>
  <si>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</si>
  <si>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</si>
  <si>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</si>
  <si>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</si>
  <si>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</si>
  <si>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</si>
  <si>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</si>
  <si>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</si>
  <si>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</si>
  <si>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</si>
  <si>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</si>
  <si>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</si>
  <si>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</si>
  <si>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</si>
  <si>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</si>
  <si>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</si>
  <si>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</si>
  <si>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</si>
  <si>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</si>
  <si>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</si>
  <si>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</si>
  <si>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</si>
  <si>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</si>
  <si>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</si>
  <si>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</si>
  <si>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</si>
  <si>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</si>
  <si>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</si>
  <si>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</si>
  <si>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</si>
  <si>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</si>
  <si>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</si>
  <si>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</si>
  <si>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</si>
  <si>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</si>
  <si>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</si>
  <si>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</si>
  <si>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</si>
  <si>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</si>
  <si>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</si>
  <si>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</si>
  <si>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</si>
  <si>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</si>
  <si>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</si>
  <si>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</si>
  <si>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</si>
  <si>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</si>
  <si>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</si>
  <si>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</si>
  <si>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</si>
  <si>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</si>
  <si>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</si>
  <si>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</si>
  <si>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</si>
  <si>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</si>
  <si>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</si>
  <si>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</si>
  <si>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</si>
  <si>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</si>
  <si>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</si>
  <si>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</si>
  <si>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</si>
  <si>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</si>
  <si>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</si>
  <si>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</si>
  <si>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</si>
  <si>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</si>
  <si>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</si>
  <si>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</si>
  <si>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</si>
  <si>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</si>
  <si>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</si>
  <si>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</si>
  <si>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</si>
  <si>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</si>
  <si>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</si>
  <si>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</si>
  <si>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</si>
  <si>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</si>
  <si>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</si>
  <si>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</si>
  <si>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</si>
  <si>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</si>
  <si>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</si>
  <si>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</si>
  <si>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</si>
  <si>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</si>
  <si>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</si>
  <si>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</si>
  <si>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</si>
  <si>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</si>
  <si>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</si>
  <si>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</si>
  <si>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</si>
  <si>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</si>
  <si>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</si>
  <si>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</si>
  <si>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</si>
  <si>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</si>
  <si>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</si>
  <si>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</si>
  <si>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</si>
  <si>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</si>
  <si>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</si>
  <si>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</si>
  <si>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</si>
  <si>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</si>
  <si>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</si>
  <si>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</si>
  <si>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</si>
  <si>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</si>
  <si>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</si>
  <si>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</si>
  <si>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</si>
  <si>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</si>
  <si>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</si>
  <si>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</si>
  <si>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</si>
  <si>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</si>
  <si>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</si>
  <si>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</si>
  <si>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</si>
  <si>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</si>
  <si>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</si>
  <si>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</si>
  <si>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</si>
  <si>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</si>
  <si>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</si>
  <si>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</si>
  <si>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</si>
  <si>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</si>
  <si>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</si>
  <si>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</si>
  <si>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</si>
  <si>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</si>
  <si>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</si>
  <si>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</si>
  <si>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</si>
  <si>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</si>
  <si>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</si>
  <si>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</si>
  <si>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</si>
  <si>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</si>
  <si>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</si>
  <si>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</si>
  <si>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</si>
  <si>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</si>
  <si>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</si>
  <si>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</si>
  <si>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</si>
  <si>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</si>
  <si>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</si>
  <si>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</si>
  <si>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</si>
  <si>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</si>
  <si>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</si>
  <si>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</si>
  <si>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</si>
  <si>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</si>
  <si>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</si>
  <si>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</si>
  <si>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</si>
  <si>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</si>
  <si>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</si>
  <si>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</si>
  <si>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</si>
  <si>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</si>
  <si>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</si>
  <si>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</si>
  <si>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</si>
  <si>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</si>
  <si>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</si>
  <si>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</si>
  <si>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</si>
  <si>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</si>
  <si>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</si>
  <si>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</si>
  <si>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</si>
  <si>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</si>
  <si>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</si>
  <si>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</si>
  <si>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</si>
  <si>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</si>
  <si>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</si>
  <si>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</si>
  <si>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</si>
  <si>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</si>
  <si>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</si>
  <si>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</si>
  <si>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</si>
  <si>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</si>
  <si>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</si>
  <si>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</si>
  <si>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</si>
  <si>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</si>
  <si>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</si>
  <si>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</si>
  <si>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</si>
  <si>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</si>
  <si>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</si>
  <si>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</si>
  <si>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</si>
  <si>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</si>
  <si>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</si>
  <si>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</si>
  <si>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</si>
  <si>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</si>
  <si>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</si>
  <si>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</si>
  <si>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</si>
  <si>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</si>
  <si>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</si>
  <si>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</si>
  <si>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</si>
  <si>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</si>
  <si>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</si>
  <si>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</si>
  <si>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</si>
  <si>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</si>
  <si>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</si>
  <si>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</si>
  <si>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</si>
  <si>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</si>
  <si>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</si>
  <si>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</si>
  <si>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</si>
  <si>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</si>
  <si>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</si>
  <si>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</si>
  <si>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</si>
  <si>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</si>
  <si>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</si>
  <si>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</si>
  <si>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</si>
  <si>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</si>
  <si>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</si>
  <si>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</si>
  <si>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</si>
  <si>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</si>
  <si>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</si>
  <si>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</si>
  <si>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</si>
  <si>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</si>
  <si>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</si>
  <si>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</si>
  <si>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</si>
  <si>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</si>
  <si>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</si>
  <si>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</si>
  <si>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</si>
  <si>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</si>
  <si>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</si>
  <si>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</si>
  <si>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</si>
  <si>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</si>
  <si>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</si>
  <si>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</si>
  <si>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</si>
  <si>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</si>
  <si>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</si>
  <si>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</si>
  <si>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</si>
  <si>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</si>
  <si>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</si>
  <si>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</si>
  <si>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</si>
  <si>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</si>
  <si>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</si>
  <si>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</si>
  <si>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</si>
  <si>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</si>
  <si>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</si>
  <si>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</si>
  <si>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</si>
  <si>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</si>
  <si>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</si>
  <si>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</si>
  <si>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</si>
  <si>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</si>
  <si>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</si>
  <si>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</si>
  <si>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</si>
  <si>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</si>
  <si>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</si>
  <si>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</si>
  <si>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</si>
  <si>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</si>
  <si>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</si>
  <si>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</si>
  <si>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</si>
  <si>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</si>
  <si>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</si>
  <si>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</si>
  <si>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</si>
  <si>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</si>
  <si>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</si>
  <si>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</si>
  <si>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</si>
  <si>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</si>
  <si>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</si>
  <si>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</si>
  <si>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</si>
  <si>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</si>
  <si>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</si>
  <si>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</si>
  <si>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</si>
  <si>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</si>
  <si>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</si>
  <si>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</si>
  <si>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</si>
  <si>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</si>
  <si>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</si>
  <si>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</si>
  <si>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</si>
  <si>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</si>
  <si>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</si>
  <si>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</si>
  <si>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</si>
  <si>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</si>
  <si>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</si>
  <si>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</si>
  <si>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</si>
  <si>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</si>
  <si>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</si>
  <si>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</si>
  <si>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</si>
  <si>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</si>
  <si>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</si>
  <si>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</si>
  <si>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</si>
  <si>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</si>
  <si>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</si>
  <si>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</si>
  <si>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</si>
  <si>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</si>
  <si>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</si>
  <si>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</si>
  <si>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</si>
  <si>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</si>
  <si>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</si>
  <si>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</si>
  <si>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</si>
  <si>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</si>
  <si>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</si>
  <si>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</si>
  <si>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</si>
  <si>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</si>
  <si>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</si>
  <si>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</si>
  <si>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</si>
  <si>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</si>
  <si>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</si>
  <si>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</si>
  <si>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</si>
  <si>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</si>
  <si>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</si>
  <si>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</si>
  <si>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</si>
  <si>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</si>
  <si>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</si>
  <si>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</si>
  <si>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</si>
  <si>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</si>
  <si>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</si>
  <si>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</si>
  <si>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</si>
  <si>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</si>
  <si>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</si>
  <si>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</si>
  <si>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</si>
  <si>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</si>
  <si>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</si>
  <si>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</si>
  <si>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</si>
  <si>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</si>
  <si>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</si>
  <si>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</si>
  <si>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</si>
  <si>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</si>
  <si>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</si>
  <si>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</si>
  <si>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</si>
  <si>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</si>
  <si>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</si>
  <si>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</si>
  <si>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</si>
  <si>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</si>
  <si>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</si>
  <si>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</si>
  <si>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</si>
  <si>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</si>
  <si>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</si>
  <si>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</si>
  <si>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</si>
  <si>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</si>
  <si>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</si>
  <si>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</si>
  <si>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</si>
  <si>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</si>
  <si>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</si>
  <si>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</si>
  <si>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</si>
  <si>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</si>
  <si>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</si>
  <si>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</si>
  <si>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</si>
  <si>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</si>
  <si>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</si>
  <si>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</si>
  <si>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</si>
  <si>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</si>
  <si>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</si>
  <si>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</si>
  <si>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</si>
  <si>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</si>
  <si>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</si>
  <si>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</si>
  <si>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</si>
  <si>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</si>
  <si>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</si>
  <si>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</si>
  <si>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</si>
  <si>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</si>
  <si>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</si>
  <si>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</si>
  <si>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</si>
  <si>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</si>
  <si>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</si>
  <si>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</si>
  <si>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</si>
  <si>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</si>
  <si>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</si>
  <si>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</si>
  <si>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</si>
  <si>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</si>
  <si>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</si>
  <si>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</si>
  <si>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</si>
  <si>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</si>
  <si>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</si>
  <si>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</si>
  <si>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</si>
  <si>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</si>
  <si>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</si>
  <si>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</si>
  <si>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</si>
  <si>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</si>
  <si>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</si>
  <si>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</si>
  <si>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</si>
  <si>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</si>
  <si>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</si>
  <si>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</si>
  <si>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</si>
  <si>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</si>
  <si>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</si>
  <si>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</si>
  <si>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</si>
  <si>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</si>
  <si>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</si>
  <si>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</si>
  <si>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</si>
  <si>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</si>
  <si>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</si>
  <si>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</si>
  <si>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</si>
  <si>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</si>
  <si>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</si>
  <si>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</si>
  <si>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</si>
  <si>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</si>
  <si>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</si>
  <si>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</si>
  <si>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</si>
  <si>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</si>
  <si>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</si>
  <si>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</si>
  <si>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</si>
  <si>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</si>
  <si>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</si>
  <si>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</si>
  <si>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</si>
  <si>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</si>
  <si>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</si>
  <si>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</si>
  <si>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</si>
  <si>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</si>
  <si>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</si>
  <si>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</si>
  <si>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</si>
  <si>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</si>
  <si>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</si>
  <si>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</si>
  <si>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</si>
  <si>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</si>
  <si>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</si>
  <si>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</si>
  <si>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</si>
  <si>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</si>
  <si>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</si>
  <si>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</si>
  <si>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</si>
  <si>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</si>
  <si>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</si>
  <si>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</si>
  <si>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</si>
  <si>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</si>
  <si>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</si>
  <si>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</si>
  <si>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</si>
  <si>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</si>
  <si>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</si>
  <si>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</si>
  <si>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</si>
  <si>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</si>
  <si>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</si>
  <si>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</si>
  <si>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</si>
  <si>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</si>
  <si>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</si>
  <si>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</si>
  <si>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</si>
  <si>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</si>
  <si>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</si>
  <si>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</si>
  <si>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</si>
  <si>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</si>
  <si>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</si>
  <si>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</si>
  <si>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</si>
  <si>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</si>
  <si>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</si>
  <si>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</si>
  <si>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</si>
  <si>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</si>
  <si>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</si>
  <si>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</si>
  <si>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</si>
  <si>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</si>
  <si>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</si>
  <si>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</si>
  <si>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</si>
  <si>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</si>
  <si>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</si>
  <si>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</si>
  <si>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</si>
  <si>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</si>
  <si>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</si>
  <si>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</si>
  <si>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</si>
  <si>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</si>
  <si>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</si>
  <si>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</si>
  <si>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</si>
  <si>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</si>
  <si>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</si>
  <si>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</si>
  <si>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</si>
  <si>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</si>
  <si>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</si>
  <si>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</si>
  <si>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</si>
  <si>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</si>
  <si>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</si>
  <si>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</si>
  <si>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</si>
  <si>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</si>
  <si>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</si>
  <si>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</si>
  <si>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</si>
  <si>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</si>
  <si>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</si>
  <si>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</si>
  <si>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</si>
  <si>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</si>
  <si>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</si>
  <si>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</si>
  <si>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</si>
  <si>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</si>
  <si>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</si>
  <si>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</si>
  <si>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</si>
  <si>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</si>
  <si>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</si>
  <si>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</si>
  <si>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</si>
  <si>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</si>
  <si>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</si>
  <si>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</si>
  <si>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</si>
  <si>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</si>
  <si>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</si>
  <si>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</si>
  <si>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</si>
  <si>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</si>
  <si>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</si>
  <si>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</si>
  <si>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</si>
  <si>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</si>
  <si>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</si>
  <si>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</si>
  <si>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</si>
  <si>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</si>
  <si>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</si>
  <si>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</si>
  <si>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</si>
  <si>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</si>
  <si>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</si>
  <si>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</si>
  <si>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</si>
  <si>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</si>
  <si>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</si>
  <si>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</si>
  <si>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</si>
  <si>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</si>
  <si>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</si>
  <si>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</si>
  <si>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</si>
  <si>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</si>
  <si>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</si>
  <si>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</si>
  <si>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</si>
  <si>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</si>
  <si>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</si>
  <si>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</si>
  <si>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</si>
  <si>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</si>
  <si>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</si>
  <si>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</si>
  <si>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</si>
  <si>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</si>
  <si>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</si>
  <si>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</si>
  <si>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</si>
  <si>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</si>
  <si>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</si>
  <si>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</si>
  <si>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</si>
  <si>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</si>
  <si>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</si>
  <si>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</si>
  <si>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</si>
  <si>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</si>
  <si>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</si>
  <si>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</si>
  <si>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</si>
  <si>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</si>
  <si>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</si>
  <si>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</si>
  <si>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</si>
  <si>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</si>
  <si>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</si>
  <si>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</si>
  <si>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</si>
  <si>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</si>
  <si>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</si>
  <si>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</si>
  <si>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</si>
  <si>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</si>
  <si>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</si>
  <si>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</si>
  <si>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</si>
  <si>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</si>
  <si>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</si>
  <si>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</si>
  <si>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</si>
  <si>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</si>
  <si>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</si>
  <si>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</si>
  <si>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</si>
  <si>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</si>
  <si>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</si>
  <si>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</si>
  <si>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</si>
  <si>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</si>
  <si>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</si>
  <si>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</si>
  <si>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</si>
  <si>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</si>
  <si>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</si>
  <si>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</si>
  <si>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</si>
  <si>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</si>
  <si>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</si>
  <si>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</si>
  <si>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</si>
  <si>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</si>
  <si>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</si>
  <si>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</si>
  <si>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</si>
  <si>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</si>
  <si>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</si>
  <si>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</si>
  <si>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</si>
  <si>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</si>
  <si>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</si>
  <si>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</si>
  <si>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</si>
  <si>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</si>
  <si>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</si>
  <si>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</si>
  <si>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</si>
  <si>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</si>
  <si>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</si>
  <si>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</si>
  <si>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</si>
  <si>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</si>
  <si>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</si>
  <si>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</si>
  <si>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</si>
  <si>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</si>
  <si>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</si>
  <si>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</si>
  <si>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</si>
  <si>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</si>
  <si>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</si>
  <si>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</si>
  <si>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</si>
  <si>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</si>
  <si>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</si>
  <si>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</si>
  <si>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</si>
  <si>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</si>
  <si>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</si>
  <si>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</si>
  <si>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</si>
  <si>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</si>
  <si>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</si>
  <si>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</si>
  <si>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</si>
  <si>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</si>
  <si>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</si>
  <si>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</si>
  <si>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</si>
  <si>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</si>
  <si>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</si>
  <si>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</si>
  <si>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</si>
  <si>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</si>
  <si>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</si>
  <si>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</si>
  <si>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</si>
  <si>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</si>
  <si>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</si>
  <si>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</si>
  <si>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</si>
  <si>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</si>
  <si>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</si>
  <si>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</si>
  <si>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</si>
  <si>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</si>
  <si>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</si>
  <si>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</si>
  <si>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</si>
  <si>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</si>
  <si>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</si>
  <si>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</si>
  <si>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</si>
  <si>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</si>
  <si>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</si>
  <si>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</si>
  <si>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</si>
  <si>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</si>
  <si>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</si>
  <si>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</si>
  <si>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</si>
  <si>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</si>
  <si>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</si>
  <si>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</si>
  <si>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</si>
  <si>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</si>
  <si>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</si>
  <si>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</si>
  <si>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</si>
  <si>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</si>
  <si>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</si>
  <si>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</si>
  <si>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</si>
  <si>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</si>
  <si>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</si>
  <si>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</si>
  <si>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</si>
  <si>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</si>
  <si>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</si>
  <si>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</si>
  <si>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</si>
  <si>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</si>
  <si>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</si>
  <si>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</si>
  <si>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</si>
  <si>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</si>
  <si>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</si>
  <si>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</si>
  <si>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</si>
  <si>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</si>
  <si>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</si>
  <si>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</si>
  <si>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</si>
  <si>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</si>
  <si>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</si>
  <si>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</si>
  <si>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</si>
  <si>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</si>
  <si>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</si>
  <si>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</si>
  <si>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</si>
  <si>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</si>
  <si>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</si>
  <si>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</si>
  <si>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</si>
  <si>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</si>
  <si>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</si>
  <si>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</si>
  <si>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</si>
  <si>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</si>
  <si>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</si>
  <si>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</si>
  <si>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</si>
  <si>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</si>
  <si>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</si>
  <si>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</si>
  <si>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</si>
  <si>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</si>
  <si>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</si>
  <si>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</si>
  <si>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</si>
  <si>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</si>
  <si>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</si>
  <si>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</si>
  <si>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</si>
  <si>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</si>
  <si>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</si>
  <si>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</si>
  <si>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</si>
  <si>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</si>
  <si>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</si>
  <si>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</si>
  <si>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</si>
  <si>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</si>
  <si>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</si>
  <si>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</si>
  <si>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</si>
  <si>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</si>
  <si>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</si>
  <si>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</si>
  <si>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</si>
  <si>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</si>
  <si>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</si>
  <si>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</si>
  <si>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</si>
  <si>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</si>
  <si>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</si>
  <si>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</si>
  <si>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</si>
  <si>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</si>
  <si>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</si>
  <si>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</si>
  <si>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</si>
  <si>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</si>
  <si>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</si>
  <si>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</si>
  <si>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</si>
  <si>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</si>
  <si>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</si>
  <si>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</si>
  <si>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</si>
  <si>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</si>
  <si>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</si>
  <si>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</si>
  <si>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</si>
  <si>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</si>
  <si>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</si>
  <si>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</si>
  <si>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</si>
  <si>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</si>
  <si>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</si>
  <si>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</si>
  <si>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</si>
  <si>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</si>
  <si>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</si>
  <si>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</si>
  <si>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</si>
  <si>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</si>
  <si>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</si>
  <si>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</si>
  <si>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</si>
  <si>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</si>
  <si>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</si>
  <si>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</si>
  <si>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</si>
  <si>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</si>
  <si>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</si>
  <si>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</si>
  <si>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</si>
  <si>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</si>
  <si>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</si>
  <si>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</si>
  <si>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</si>
  <si>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</si>
  <si>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</si>
  <si>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</si>
  <si>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</si>
  <si>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</si>
  <si>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</si>
  <si>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</si>
  <si>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</si>
  <si>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</si>
  <si>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</si>
  <si>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</si>
  <si>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</si>
  <si>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</si>
  <si>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</si>
  <si>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</si>
  <si>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</si>
  <si>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</si>
  <si>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</si>
  <si>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</si>
  <si>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</si>
  <si>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</si>
  <si>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</si>
  <si>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</si>
  <si>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</si>
  <si>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</si>
  <si>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</si>
  <si>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</si>
  <si>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</si>
  <si>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</si>
  <si>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</si>
  <si>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</si>
  <si>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</si>
  <si>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</si>
  <si>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</si>
  <si>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</si>
  <si>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</si>
  <si>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</si>
  <si>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</si>
  <si>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</si>
  <si>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</si>
  <si>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</si>
  <si>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</si>
  <si>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</si>
  <si>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</si>
  <si>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</si>
  <si>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</si>
  <si>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</si>
  <si>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</si>
  <si>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</si>
  <si>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</si>
  <si>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</si>
  <si>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</si>
  <si>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</si>
  <si>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</si>
  <si>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</si>
  <si>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</si>
  <si>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</si>
  <si>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</si>
  <si>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</si>
  <si>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</si>
  <si>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</si>
  <si>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</si>
  <si>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</si>
  <si>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</si>
  <si>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</si>
  <si>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</si>
  <si>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</si>
  <si>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</si>
  <si>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</si>
  <si>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</si>
  <si>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</si>
  <si>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</si>
  <si>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</si>
  <si>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</si>
  <si>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</si>
  <si>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</si>
  <si>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</si>
  <si>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</si>
  <si>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</si>
  <si>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</si>
  <si>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</si>
  <si>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</si>
  <si>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</si>
  <si>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</si>
  <si>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</si>
  <si>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</si>
  <si>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</si>
  <si>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</si>
  <si>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</si>
  <si>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</si>
  <si>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</si>
  <si>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</si>
  <si>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</si>
  <si>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</si>
  <si>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</si>
  <si>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</si>
  <si>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</si>
  <si>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</si>
  <si>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</si>
  <si>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</si>
  <si>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</si>
  <si>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</si>
  <si>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</si>
  <si>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</si>
  <si>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</si>
  <si>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</si>
  <si>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</si>
  <si>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</si>
  <si>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</si>
  <si>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</si>
  <si>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</si>
  <si>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</si>
  <si>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</si>
  <si>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</si>
  <si>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</si>
  <si>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</si>
  <si>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</si>
  <si>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</si>
  <si>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</si>
  <si>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</si>
  <si>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</si>
  <si>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</si>
  <si>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</si>
  <si>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</si>
  <si>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</si>
  <si>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</si>
  <si>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</si>
  <si>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</si>
  <si>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</si>
  <si>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</si>
  <si>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</si>
  <si>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</si>
  <si>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</si>
  <si>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</si>
  <si>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</si>
  <si>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</si>
  <si>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</si>
  <si>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</si>
  <si>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</si>
  <si>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</si>
  <si>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</si>
  <si>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</si>
  <si>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</si>
  <si>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</si>
  <si>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</si>
  <si>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</si>
  <si>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</si>
  <si>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</si>
  <si>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</si>
  <si>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</si>
  <si>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</si>
  <si>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</si>
  <si>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</si>
  <si>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</si>
  <si>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</si>
  <si>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</si>
  <si>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</si>
  <si>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</si>
  <si>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</si>
  <si>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</si>
  <si>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</si>
  <si>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</si>
  <si>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</si>
  <si>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</si>
  <si>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</si>
  <si>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</si>
  <si>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</si>
  <si>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</si>
  <si>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</si>
  <si>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</si>
  <si>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</si>
  <si>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</si>
  <si>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</si>
  <si>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</si>
  <si>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</si>
  <si>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</si>
  <si>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</si>
  <si>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</si>
  <si>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</si>
  <si>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</si>
  <si>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</si>
  <si>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</si>
  <si>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</si>
  <si>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</si>
  <si>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</si>
  <si>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</si>
  <si>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</si>
  <si>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</si>
  <si>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</si>
  <si>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</si>
  <si>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</si>
  <si>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</si>
  <si>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</si>
  <si>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</si>
  <si>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</si>
  <si>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</si>
  <si>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</si>
  <si>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</si>
  <si>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</si>
  <si>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</si>
  <si>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</si>
  <si>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</si>
  <si>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</si>
  <si>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</si>
  <si>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</si>
  <si>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</si>
  <si>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</si>
  <si>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</si>
  <si>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</si>
  <si>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</si>
  <si>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</si>
  <si>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</si>
  <si>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</si>
  <si>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</si>
  <si>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</si>
  <si>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</si>
  <si>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</si>
  <si>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</si>
  <si>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</si>
  <si>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</si>
  <si>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</si>
  <si>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</si>
  <si>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</si>
  <si>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</si>
  <si>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</si>
  <si>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</si>
  <si>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</si>
  <si>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</si>
  <si>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</si>
  <si>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</si>
  <si>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</si>
  <si>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</si>
  <si>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</si>
  <si>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</si>
  <si>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</si>
  <si>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</si>
  <si>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</si>
  <si>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</si>
  <si>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</si>
  <si>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</si>
  <si>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</si>
  <si>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</si>
  <si>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</si>
  <si>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</si>
  <si>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</si>
  <si>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</si>
  <si>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</si>
  <si>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</si>
  <si>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</si>
  <si>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</si>
  <si>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</si>
  <si>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</si>
  <si>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</si>
  <si>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</si>
  <si>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</si>
  <si>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</si>
  <si>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</si>
  <si>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</si>
  <si>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</si>
  <si>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</si>
  <si>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</si>
  <si>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</si>
  <si>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</si>
  <si>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</si>
  <si>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</si>
  <si>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</si>
  <si>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</si>
  <si>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</si>
  <si>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</si>
  <si>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</si>
  <si>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</si>
  <si>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</si>
  <si>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</si>
  <si>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</si>
  <si>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</si>
  <si>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</si>
  <si>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</si>
  <si>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</si>
  <si>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</si>
  <si>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</si>
  <si>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</si>
  <si>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</si>
  <si>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</si>
  <si>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</si>
  <si>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</si>
  <si>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</si>
  <si>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</si>
  <si>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</si>
  <si>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</si>
  <si>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</si>
  <si>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</si>
  <si>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</si>
  <si>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</si>
  <si>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</si>
  <si>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</si>
  <si>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</si>
  <si>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</si>
  <si>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</si>
  <si>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</si>
  <si>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</si>
  <si>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</si>
  <si>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</si>
  <si>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</si>
  <si>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</si>
  <si>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</si>
  <si>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</si>
  <si>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</si>
  <si>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</si>
  <si>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</si>
  <si>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</si>
  <si>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</si>
  <si>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</si>
  <si>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</si>
  <si>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</si>
  <si>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</si>
  <si>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</si>
  <si>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</si>
  <si>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</si>
  <si>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</si>
  <si>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</si>
  <si>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</si>
  <si>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</si>
  <si>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</si>
  <si>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</si>
  <si>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</si>
  <si>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</si>
  <si>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</si>
  <si>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</si>
  <si>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</si>
  <si>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</si>
  <si>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</si>
  <si>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</si>
  <si>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</si>
  <si>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</si>
  <si>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</si>
  <si>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</si>
  <si>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</si>
  <si>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</si>
  <si>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</si>
  <si>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</si>
  <si>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</si>
  <si>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</si>
  <si>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</si>
  <si>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</si>
  <si>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</si>
  <si>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</si>
  <si>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</si>
  <si>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</si>
  <si>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</si>
  <si>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</si>
  <si>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</si>
  <si>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</si>
  <si>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</si>
  <si>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</si>
  <si>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</si>
  <si>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</si>
  <si>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</si>
  <si>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</si>
  <si>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</si>
  <si>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</si>
  <si>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</si>
  <si>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</si>
  <si>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</si>
  <si>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</si>
  <si>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</si>
  <si>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</si>
  <si>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</si>
  <si>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</si>
  <si>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</si>
  <si>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</si>
  <si>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</si>
  <si>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</si>
  <si>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</si>
  <si>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</si>
  <si>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</si>
  <si>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</si>
  <si>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</si>
  <si>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</si>
  <si>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</si>
  <si>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</si>
  <si>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</si>
  <si>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</si>
  <si>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</si>
  <si>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</si>
  <si>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</si>
  <si>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</si>
  <si>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</si>
  <si>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</si>
  <si>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</si>
  <si>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</si>
  <si>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</si>
  <si>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</si>
  <si>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</si>
  <si>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</si>
  <si>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</si>
  <si>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</si>
  <si>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</si>
  <si>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</si>
  <si>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</si>
  <si>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</si>
  <si>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</si>
  <si>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</si>
  <si>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</si>
  <si>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</si>
  <si>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</si>
  <si>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</si>
  <si>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</si>
  <si>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</si>
  <si>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</si>
  <si>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</si>
  <si>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</si>
  <si>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</si>
  <si>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</si>
  <si>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</si>
  <si>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</si>
  <si>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</si>
  <si>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</si>
  <si>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</si>
  <si>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</si>
  <si>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</si>
  <si>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</si>
  <si>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</si>
  <si>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</si>
  <si>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</si>
  <si>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</si>
  <si>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</si>
  <si>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</si>
  <si>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</si>
  <si>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</si>
  <si>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</si>
  <si>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</si>
  <si>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</si>
  <si>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</si>
  <si>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</si>
  <si>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</si>
  <si>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</si>
  <si>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</si>
  <si>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</si>
  <si>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</si>
  <si>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</si>
  <si>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</si>
  <si>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</si>
  <si>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</si>
  <si>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</si>
  <si>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</si>
  <si>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</si>
  <si>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</si>
  <si>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</si>
  <si>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</si>
  <si>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</si>
  <si>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</si>
  <si>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</si>
  <si>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</si>
  <si>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</si>
  <si>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</si>
  <si>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</si>
  <si>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</si>
  <si>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</si>
  <si>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</si>
  <si>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</si>
  <si>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</si>
  <si>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</si>
  <si>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</si>
  <si>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</si>
  <si>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</si>
  <si>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</si>
  <si>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</si>
  <si>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</si>
  <si>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</si>
  <si>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</si>
  <si>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</si>
  <si>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</si>
  <si>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</si>
  <si>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</si>
  <si>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</si>
  <si>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</si>
  <si>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</si>
  <si>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</si>
  <si>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</si>
  <si>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</si>
  <si>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</si>
  <si>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</si>
  <si>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</si>
  <si>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</si>
  <si>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</si>
  <si>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</si>
  <si>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</si>
  <si>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</si>
  <si>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</si>
  <si>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</si>
  <si>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</si>
  <si>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</si>
  <si>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</si>
  <si>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</si>
  <si>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</si>
  <si>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</si>
  <si>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</si>
  <si>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</si>
  <si>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</si>
  <si>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</si>
  <si>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</si>
  <si>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</si>
  <si>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</si>
  <si>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</si>
  <si>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</si>
  <si>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</si>
  <si>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</si>
  <si>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</si>
  <si>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</si>
  <si>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</si>
  <si>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</si>
  <si>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</si>
  <si>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</si>
  <si>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</si>
  <si>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</si>
  <si>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</si>
  <si>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</si>
  <si>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</si>
  <si>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</si>
  <si>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</si>
  <si>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</si>
  <si>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</si>
  <si>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</si>
  <si>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</si>
  <si>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</si>
  <si>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</si>
  <si>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</si>
  <si>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</si>
  <si>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</si>
  <si>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</si>
  <si>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</si>
  <si>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</si>
  <si>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</si>
  <si>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</si>
  <si>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</si>
  <si>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</si>
  <si>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</si>
  <si>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</si>
  <si>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</si>
  <si>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</si>
  <si>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</si>
  <si>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</si>
  <si>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</si>
  <si>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</si>
  <si>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</si>
  <si>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</si>
  <si>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</si>
  <si>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</si>
  <si>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</si>
  <si>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</si>
  <si>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</si>
  <si>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</si>
  <si>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</si>
  <si>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</si>
  <si>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</si>
  <si>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</si>
  <si>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</si>
  <si>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</si>
  <si>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</si>
  <si>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</si>
  <si>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</si>
  <si>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</si>
  <si>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</si>
  <si>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</si>
  <si>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</si>
  <si>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</si>
  <si>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</si>
  <si>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</si>
  <si>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</si>
  <si>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</si>
  <si>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</si>
  <si>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</si>
  <si>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</si>
  <si>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</si>
  <si>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</si>
  <si>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</si>
  <si>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</si>
  <si>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</si>
  <si>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</si>
  <si>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</si>
  <si>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</si>
  <si>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</si>
  <si>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</si>
  <si>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</si>
  <si>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</si>
  <si>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</si>
  <si>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</si>
  <si>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</si>
  <si>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</si>
  <si>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</si>
  <si>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</si>
  <si>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</si>
  <si>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</si>
  <si>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</si>
  <si>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</si>
  <si>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</si>
  <si>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</si>
  <si>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</si>
  <si>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</si>
  <si>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</si>
  <si>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</si>
  <si>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</si>
  <si>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</si>
  <si>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</si>
  <si>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</si>
  <si>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</si>
  <si>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</si>
  <si>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</si>
  <si>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</si>
  <si>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</si>
  <si>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</si>
  <si>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</si>
  <si>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</si>
  <si>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</si>
  <si>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</si>
  <si>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</si>
  <si>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</si>
  <si>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</si>
  <si>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</si>
  <si>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</si>
  <si>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</si>
  <si>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</si>
  <si>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</si>
  <si>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</si>
  <si>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</si>
  <si>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</si>
  <si>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</si>
  <si>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</si>
  <si>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</si>
  <si>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</si>
  <si>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</si>
  <si>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</si>
  <si>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</si>
  <si>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</si>
  <si>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</si>
  <si>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</si>
  <si>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</si>
  <si>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</si>
  <si>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</si>
  <si>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</si>
  <si>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</si>
  <si>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</si>
  <si>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</si>
  <si>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</si>
  <si>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</si>
  <si>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</si>
  <si>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</si>
  <si>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</si>
  <si>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</si>
  <si>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</si>
  <si>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</si>
  <si>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</si>
  <si>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</si>
  <si>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</si>
  <si>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</si>
  <si>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</si>
  <si>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</si>
  <si>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</si>
  <si>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</si>
  <si>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</si>
  <si>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</si>
  <si>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</si>
  <si>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</si>
  <si>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</si>
  <si>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</si>
  <si>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</si>
  <si>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</si>
  <si>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</si>
  <si>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</si>
  <si>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</si>
  <si>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</si>
  <si>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</si>
  <si>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</si>
  <si>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</si>
  <si>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</si>
  <si>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</si>
  <si>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</si>
  <si>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</si>
  <si>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</si>
  <si>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</si>
  <si>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</si>
  <si>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</si>
  <si>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</si>
  <si>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</si>
  <si>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</si>
  <si>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</si>
  <si>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</si>
  <si>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</si>
  <si>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</si>
  <si>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</si>
  <si>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</si>
  <si>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</si>
  <si>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</si>
  <si>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</si>
  <si>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</si>
  <si>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</si>
  <si>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</si>
  <si>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</si>
  <si>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</si>
  <si>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</si>
  <si>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</si>
  <si>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</si>
  <si>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</si>
  <si>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</si>
  <si>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</si>
  <si>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</si>
  <si>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</si>
  <si>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</si>
  <si>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</si>
  <si>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</si>
  <si>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</si>
  <si>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</si>
  <si>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</si>
  <si>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</si>
  <si>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</si>
  <si>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</si>
  <si>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</si>
  <si>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</si>
  <si>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</si>
  <si>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</si>
  <si>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</si>
  <si>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</si>
  <si>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</si>
  <si>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</si>
  <si>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</si>
  <si>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</si>
  <si>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</si>
  <si>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</si>
  <si>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</si>
  <si>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</si>
  <si>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</si>
  <si>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</si>
  <si>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</si>
  <si>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</si>
  <si>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</si>
  <si>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</si>
  <si>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</si>
  <si>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</si>
  <si>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</si>
  <si>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</si>
  <si>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</si>
  <si>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</si>
  <si>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</si>
  <si>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</si>
  <si>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</si>
  <si>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</si>
  <si>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</si>
  <si>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</si>
  <si>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</si>
  <si>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</si>
  <si>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</si>
  <si>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</si>
  <si>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</si>
  <si>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</si>
  <si>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</si>
  <si>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</si>
  <si>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</si>
  <si>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</si>
  <si>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</si>
  <si>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</si>
  <si>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</si>
  <si>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</si>
  <si>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</si>
  <si>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</si>
  <si>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</si>
  <si>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</si>
  <si>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</si>
  <si>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</si>
  <si>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</si>
  <si>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</si>
  <si>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</si>
  <si>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</si>
  <si>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</si>
  <si>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</si>
  <si>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</si>
  <si>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</si>
  <si>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</si>
  <si>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</si>
  <si>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</si>
  <si>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</si>
  <si>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</si>
  <si>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</si>
  <si>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</si>
  <si>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</si>
  <si>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</si>
  <si>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</si>
  <si>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</si>
  <si>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</si>
  <si>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</si>
  <si>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</si>
  <si>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</si>
  <si>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</si>
  <si>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</si>
  <si>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</si>
  <si>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</si>
  <si>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</si>
  <si>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</si>
  <si>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</si>
  <si>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</si>
  <si>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</si>
  <si>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</si>
  <si>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</si>
  <si>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</si>
  <si>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</si>
  <si>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</si>
  <si>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</si>
  <si>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</si>
  <si>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</si>
  <si>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</si>
  <si>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</si>
  <si>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</si>
  <si>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</si>
  <si>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</si>
  <si>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</si>
  <si>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</si>
  <si>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</si>
  <si>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</si>
  <si>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</si>
  <si>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</si>
  <si>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</si>
  <si>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</si>
  <si>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</si>
  <si>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</si>
  <si>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</si>
  <si>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</si>
  <si>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</si>
  <si>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</si>
  <si>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</si>
  <si>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</si>
  <si>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</si>
  <si>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</si>
  <si>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</si>
  <si>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</si>
  <si>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</si>
  <si>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</si>
  <si>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</si>
  <si>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</si>
  <si>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</si>
  <si>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</si>
  <si>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</si>
  <si>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</si>
  <si>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</si>
  <si>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</si>
  <si>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</si>
  <si>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</si>
  <si>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</si>
  <si>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</si>
  <si>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</si>
  <si>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</si>
  <si>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</si>
  <si>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</si>
  <si>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</si>
  <si>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</si>
  <si>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</si>
  <si>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</si>
  <si>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</si>
  <si>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</si>
  <si>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</si>
  <si>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</si>
  <si>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</si>
  <si>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</si>
  <si>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</si>
  <si>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</si>
  <si>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</si>
  <si>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</si>
  <si>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</si>
  <si>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</si>
  <si>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</si>
  <si>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</si>
  <si>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</si>
  <si>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</si>
  <si>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</si>
  <si>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</si>
  <si>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</si>
  <si>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</si>
  <si>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</si>
  <si>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</si>
  <si>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</si>
  <si>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</si>
  <si>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</si>
  <si>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</si>
  <si>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</si>
  <si>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</si>
  <si>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</si>
  <si>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</si>
  <si>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</si>
  <si>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</si>
  <si>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</si>
  <si>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</si>
  <si>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</si>
  <si>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</si>
  <si>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</si>
  <si>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</si>
  <si>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</si>
  <si>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</si>
  <si>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</si>
  <si>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</si>
  <si>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</si>
  <si>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</si>
  <si>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</si>
  <si>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</si>
  <si>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</si>
  <si>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</si>
  <si>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</si>
  <si>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</si>
  <si>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</si>
  <si>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</si>
  <si>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</si>
  <si>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</si>
  <si>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</si>
  <si>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</si>
  <si>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</si>
  <si>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</si>
  <si>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</si>
  <si>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</si>
  <si>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</si>
  <si>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</si>
  <si>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</si>
  <si>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</si>
  <si>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</si>
  <si>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</si>
  <si>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</si>
  <si>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</si>
  <si>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</si>
  <si>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</si>
  <si>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</si>
  <si>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</si>
  <si>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</si>
  <si>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</si>
  <si>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</si>
  <si>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</si>
  <si>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</si>
  <si>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</si>
  <si>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</si>
  <si>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</si>
  <si>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</si>
  <si>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</si>
  <si>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</si>
  <si>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</si>
  <si>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</si>
  <si>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</si>
  <si>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</si>
  <si>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</si>
  <si>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</si>
  <si>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</si>
  <si>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</si>
  <si>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</si>
  <si>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</si>
  <si>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</si>
  <si>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</si>
  <si>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</si>
  <si>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</si>
  <si>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</si>
  <si>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</si>
  <si>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</si>
  <si>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</si>
  <si>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</si>
  <si>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</si>
  <si>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</si>
  <si>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</si>
  <si>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</si>
  <si>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</si>
  <si>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</si>
  <si>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</si>
  <si>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</si>
  <si>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</si>
  <si>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</si>
  <si>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</si>
  <si>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</si>
  <si>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</si>
  <si>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</si>
  <si>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</si>
  <si>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</si>
  <si>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</si>
  <si>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</si>
  <si>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</si>
  <si>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</si>
  <si>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</si>
  <si>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</si>
  <si>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</si>
  <si>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</si>
  <si>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</si>
  <si>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</si>
  <si>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</si>
  <si>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</si>
  <si>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</si>
  <si>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</si>
  <si>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</si>
  <si>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</si>
  <si>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</si>
  <si>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</si>
  <si>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</si>
  <si>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</si>
  <si>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</si>
  <si>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</si>
  <si>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</si>
  <si>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</si>
  <si>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</si>
  <si>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</si>
  <si>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</si>
  <si>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</si>
  <si>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</si>
  <si>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</si>
  <si>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</si>
  <si>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</si>
  <si>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</si>
  <si>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</si>
  <si>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</si>
  <si>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</si>
  <si>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</si>
  <si>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</si>
  <si>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</si>
  <si>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</si>
  <si>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</si>
  <si>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</si>
  <si>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</si>
  <si>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</si>
  <si>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</si>
  <si>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</si>
  <si>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</si>
  <si>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</si>
  <si>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</si>
  <si>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</si>
  <si>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</si>
  <si>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</si>
  <si>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</si>
  <si>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</si>
  <si>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</si>
  <si>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</si>
  <si>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</si>
  <si>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</si>
  <si>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</si>
  <si>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</si>
  <si>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</si>
  <si>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</si>
  <si>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</si>
  <si>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</si>
  <si>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</si>
  <si>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</si>
  <si>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</si>
  <si>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</si>
  <si>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</si>
  <si>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</si>
  <si>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</si>
  <si>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</si>
  <si>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</si>
  <si>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</si>
  <si>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</si>
  <si>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</si>
  <si>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</si>
  <si>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</si>
  <si>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</si>
  <si>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</si>
  <si>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</si>
  <si>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</si>
  <si>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</si>
  <si>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</si>
  <si>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</si>
  <si>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</si>
  <si>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</si>
  <si>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</si>
  <si>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</si>
  <si>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</si>
  <si>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</si>
  <si>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</si>
  <si>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</si>
  <si>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</si>
  <si>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</si>
  <si>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</si>
  <si>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</si>
  <si>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</si>
  <si>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</si>
  <si>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</si>
  <si>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</si>
  <si>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</si>
  <si>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</si>
  <si>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</si>
  <si>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</si>
  <si>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</si>
  <si>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</si>
  <si>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</si>
  <si>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</si>
  <si>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</si>
  <si>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</si>
  <si>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</si>
  <si>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</si>
  <si>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</si>
  <si>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</si>
  <si>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</si>
  <si>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</si>
  <si>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</si>
  <si>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</si>
  <si>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</si>
  <si>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</si>
  <si>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</si>
  <si>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</si>
  <si>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</si>
  <si>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</si>
  <si>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</si>
  <si>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</si>
  <si>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</si>
  <si>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</si>
  <si>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</si>
  <si>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</si>
  <si>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</si>
  <si>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</si>
  <si>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</si>
  <si>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</si>
  <si>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</si>
  <si>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</si>
  <si>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</si>
  <si>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</si>
  <si>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</si>
  <si>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</si>
  <si>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</si>
  <si>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</si>
  <si>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</si>
  <si>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</si>
  <si>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</si>
  <si>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</si>
  <si>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</si>
  <si>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</si>
  <si>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</si>
  <si>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</si>
  <si>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</si>
  <si>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</si>
  <si>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</si>
  <si>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</si>
  <si>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</si>
  <si>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</si>
  <si>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</si>
  <si>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</si>
  <si>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</si>
  <si>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</si>
  <si>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</si>
  <si>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</si>
  <si>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</si>
  <si>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</si>
  <si>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</si>
  <si>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</si>
  <si>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</si>
  <si>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</si>
  <si>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</si>
  <si>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</si>
  <si>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</si>
  <si>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</si>
  <si>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</si>
  <si>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</si>
  <si>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</si>
  <si>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</si>
  <si>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</si>
  <si>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</si>
  <si>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</si>
  <si>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</si>
  <si>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</si>
  <si>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</si>
  <si>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</si>
  <si>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</si>
  <si>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</si>
  <si>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</si>
  <si>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</si>
  <si>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</si>
  <si>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</si>
  <si>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</si>
  <si>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</si>
  <si>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</si>
  <si>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</si>
  <si>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</si>
  <si>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</si>
  <si>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</si>
  <si>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</si>
  <si>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</si>
  <si>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</si>
  <si>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</si>
  <si>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</si>
  <si>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</si>
  <si>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</si>
  <si>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</si>
  <si>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</si>
  <si>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</si>
  <si>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</si>
  <si>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</si>
  <si>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</si>
  <si>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</si>
  <si>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</si>
  <si>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</si>
  <si>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</si>
  <si>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</si>
  <si>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</si>
  <si>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</si>
  <si>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</si>
  <si>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</si>
  <si>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</si>
  <si>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</si>
  <si>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</si>
  <si>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</si>
  <si>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</si>
  <si>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</si>
  <si>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</si>
  <si>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</si>
  <si>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</si>
  <si>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</si>
  <si>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</si>
  <si>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</si>
  <si>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</si>
  <si>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</si>
  <si>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</si>
  <si>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</si>
  <si>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</si>
  <si>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</si>
  <si>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</si>
  <si>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</si>
  <si>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</si>
  <si>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</si>
  <si>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</si>
  <si>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</si>
  <si>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</si>
  <si>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</si>
  <si>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</si>
  <si>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</si>
  <si>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</si>
  <si>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</si>
  <si>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</si>
  <si>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</si>
  <si>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</si>
  <si>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</si>
  <si>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</si>
  <si>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</si>
  <si>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</si>
  <si>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</si>
  <si>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</si>
  <si>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</si>
  <si>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</si>
  <si>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</si>
  <si>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</si>
  <si>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</si>
  <si>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</si>
  <si>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</si>
  <si>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</si>
  <si>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</si>
  <si>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</si>
  <si>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</si>
  <si>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</si>
  <si>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</si>
  <si>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</si>
  <si>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</si>
  <si>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</si>
  <si>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</si>
  <si>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</si>
  <si>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</si>
  <si>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</si>
  <si>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</si>
  <si>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</si>
  <si>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</si>
  <si>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</si>
  <si>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</si>
  <si>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</si>
  <si>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</si>
  <si>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</si>
  <si>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</si>
  <si>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</si>
  <si>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</si>
  <si>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</si>
  <si>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</si>
  <si>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</si>
  <si>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</si>
  <si>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</si>
  <si>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</si>
  <si>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</si>
  <si>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</si>
  <si>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</si>
  <si>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</si>
  <si>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</si>
  <si>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</si>
  <si>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</si>
  <si>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</si>
  <si>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</si>
  <si>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</si>
  <si>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</si>
  <si>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</si>
  <si>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</si>
  <si>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</si>
  <si>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</si>
  <si>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</si>
  <si>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</si>
  <si>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</si>
  <si>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</si>
  <si>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</si>
  <si>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</si>
  <si>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</si>
  <si>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</si>
  <si>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</si>
  <si>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</si>
  <si>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</si>
  <si>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</si>
  <si>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</si>
  <si>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</si>
  <si>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</si>
  <si>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</si>
  <si>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</si>
  <si>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</si>
  <si>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</si>
  <si>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</si>
  <si>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</si>
  <si>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</si>
  <si>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</si>
  <si>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</si>
  <si>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</si>
  <si>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</si>
  <si>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</si>
  <si>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</si>
  <si>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</si>
  <si>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</si>
  <si>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</si>
  <si>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</si>
  <si>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</si>
  <si>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</si>
  <si>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</si>
  <si>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</si>
  <si>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</si>
  <si>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</si>
  <si>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</si>
  <si>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</si>
  <si>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</si>
  <si>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</si>
  <si>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</si>
  <si>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</si>
  <si>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</si>
  <si>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</si>
  <si>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</si>
  <si>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</si>
  <si>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</si>
  <si>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</si>
  <si>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</si>
  <si>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</si>
  <si>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</si>
  <si>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</si>
  <si>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</si>
  <si>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</si>
  <si>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</si>
  <si>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</si>
  <si>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</si>
  <si>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</si>
  <si>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</si>
  <si>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</si>
  <si>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</si>
  <si>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</si>
  <si>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</si>
  <si>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</si>
  <si>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</si>
  <si>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</si>
  <si>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</si>
  <si>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</si>
  <si>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</si>
  <si>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</si>
  <si>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</si>
  <si>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</si>
  <si>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</si>
  <si>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</si>
  <si>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</si>
  <si>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</si>
  <si>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</si>
  <si>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</si>
  <si>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</si>
  <si>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</si>
  <si>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</si>
  <si>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</si>
  <si>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</si>
  <si>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</si>
  <si>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</si>
  <si>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</si>
  <si>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</si>
  <si>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</si>
  <si>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</si>
  <si>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</si>
  <si>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</si>
  <si>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</si>
  <si>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</si>
  <si>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</si>
  <si>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</si>
  <si>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</si>
  <si>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</si>
  <si>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</si>
  <si>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</si>
  <si>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</si>
  <si>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</si>
  <si>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</si>
  <si>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</si>
  <si>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</si>
  <si>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</si>
  <si>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</si>
  <si>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</si>
  <si>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</si>
  <si>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</si>
  <si>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</si>
  <si>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</si>
  <si>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</si>
  <si>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</si>
  <si>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</si>
  <si>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</si>
  <si>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</si>
  <si>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</si>
  <si>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de Agua Potable y Alcantarillado en la Zona rural del Municipio de León, Guanajuato</t>
  </si>
  <si>
    <t>PRESIDENCIA SAPAL RURAL</t>
  </si>
  <si>
    <t>ADMINISTRACIÓN FINANCIERA Y COMERCIAL</t>
  </si>
  <si>
    <t>PLANEACIÓN, OPERACIÓN Y MANTENIMIENTO</t>
  </si>
  <si>
    <t>Al 31 de diciembre de 2018 y al 30 de septiembre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</si>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</sst>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8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8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8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3" fillId="0" borderId="1" xfId="0" applyFont="1" applyFill="1" applyBorder="1" applyProtection="1">
      <protection locked="0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13" fillId="0" borderId="0" xfId="0" applyFont="1"/>
    <xf numFmtId="0" fontId="7" fillId="0" borderId="12" xfId="0" applyFont="1" applyFill="1" applyBorder="1" applyProtection="1"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7" t="s">
        <v>829</v>
      </c>
      <c r="B1" s="148"/>
      <c r="C1" s="148"/>
      <c r="D1" s="148"/>
      <c r="E1" s="14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3302</v>
      </c>
      <c r="D3" s="15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x14ac:dyDescent="0.2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2019</v>
      </c>
    </row>
    <row r="14" spans="2:3" x14ac:dyDescent="0.25">
      <c r="B14" t="s">
        <v>793</v>
      </c>
      <c r="C14" s="24" t="s">
        <v>3306</v>
      </c>
    </row>
    <row r="15" spans="2:3" x14ac:dyDescent="0.25">
      <c r="C15" s="24">
        <v>3</v>
      </c>
    </row>
    <row r="16" spans="2:3" x14ac:dyDescent="0.25">
      <c r="C16" s="24" t="s">
        <v>3307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2019 (m = g – l)</v>
      </c>
    </row>
    <row r="20" spans="4:9" ht="60" x14ac:dyDescent="0.2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topLeftCell="B1" zoomScale="70" zoomScaleNormal="7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x14ac:dyDescent="0.25">
      <c r="A4" s="157" t="str">
        <f>PERIODO_INFORME</f>
        <v>Al 31 de diciembre de 2018 y al 30 de septiembre de 2019 (b)</v>
      </c>
      <c r="B4" s="158"/>
      <c r="C4" s="158"/>
      <c r="D4" s="158"/>
      <c r="E4" s="158"/>
      <c r="F4" s="159"/>
    </row>
    <row r="5" spans="1:6" x14ac:dyDescent="0.25">
      <c r="A5" s="160" t="s">
        <v>118</v>
      </c>
      <c r="B5" s="161"/>
      <c r="C5" s="161"/>
      <c r="D5" s="161"/>
      <c r="E5" s="161"/>
      <c r="F5" s="162"/>
    </row>
    <row r="6" spans="1:6" s="3" customFormat="1" ht="30" x14ac:dyDescent="0.2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51489598.439999998</v>
      </c>
      <c r="C9" s="60">
        <f>SUM(C10:C16)</f>
        <v>89615001.310000002</v>
      </c>
      <c r="D9" s="100" t="s">
        <v>54</v>
      </c>
      <c r="E9" s="60">
        <f>SUM(E10:E18)</f>
        <v>1572469.03</v>
      </c>
      <c r="F9" s="60">
        <f>SUM(F10:F18)</f>
        <v>796842.78</v>
      </c>
    </row>
    <row r="10" spans="1:6" x14ac:dyDescent="0.2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48115045.479999997</v>
      </c>
      <c r="C11" s="60">
        <v>58508282.829999998</v>
      </c>
      <c r="D11" s="101" t="s">
        <v>56</v>
      </c>
      <c r="E11" s="60">
        <v>1367263.29</v>
      </c>
      <c r="F11" s="60">
        <v>473348.11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3374552.96</v>
      </c>
      <c r="C14" s="60">
        <v>31106718.48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205205.74</v>
      </c>
      <c r="F16" s="60">
        <v>323494.67</v>
      </c>
    </row>
    <row r="17" spans="1:6" x14ac:dyDescent="0.25">
      <c r="A17" s="95" t="s">
        <v>11</v>
      </c>
      <c r="B17" s="60">
        <f>SUM(B18:B24)</f>
        <v>32215889.030000001</v>
      </c>
      <c r="C17" s="60">
        <f>SUM(C18:C24)</f>
        <v>27480823.100000001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9630772.9700000007</v>
      </c>
      <c r="C19" s="60">
        <v>7701589.7400000002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2372774.88</v>
      </c>
      <c r="C20" s="60">
        <v>1629243.5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20212341.18</v>
      </c>
      <c r="C24" s="60">
        <v>18149989.859999999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12548110.880000001</v>
      </c>
      <c r="C25" s="60">
        <f>SUM(C26:C30)</f>
        <v>4605719.22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43068.09</v>
      </c>
      <c r="F27" s="60">
        <f>SUM(F28:F30)</f>
        <v>187134.98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43068.09</v>
      </c>
      <c r="F28" s="60">
        <v>187134.98</v>
      </c>
    </row>
    <row r="29" spans="1:6" x14ac:dyDescent="0.25">
      <c r="A29" s="97" t="s">
        <v>23</v>
      </c>
      <c r="B29" s="60">
        <v>12548110.880000001</v>
      </c>
      <c r="C29" s="60">
        <v>4605719.22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-2467487.46</v>
      </c>
      <c r="C38" s="60">
        <f>SUM(C39:C40)</f>
        <v>-2296990.9300000002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-2467487.46</v>
      </c>
      <c r="C39" s="60">
        <v>-2296990.9300000002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93786110.890000001</v>
      </c>
      <c r="C47" s="61">
        <f>C9+C17+C25+C31+C38+C41</f>
        <v>119404552.69999999</v>
      </c>
      <c r="D47" s="99" t="s">
        <v>91</v>
      </c>
      <c r="E47" s="61">
        <f>E9+E19+E23+E26+E27+E31+E38+E42</f>
        <v>1615537.12</v>
      </c>
      <c r="F47" s="61">
        <f>F9+F19+F23+F26+F27+F31+F38+F42</f>
        <v>983977.76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176045722.11000001</v>
      </c>
      <c r="C52" s="60">
        <v>156358826.90000001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-5935327.5599999996</v>
      </c>
      <c r="C55" s="60">
        <v>-2784515.04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1615537.12</v>
      </c>
      <c r="F59" s="61">
        <f>F47+F57</f>
        <v>983977.76</v>
      </c>
    </row>
    <row r="60" spans="1:6" x14ac:dyDescent="0.25">
      <c r="A60" s="55" t="s">
        <v>50</v>
      </c>
      <c r="B60" s="61">
        <f>SUM(B50:B58)</f>
        <v>170110394.55000001</v>
      </c>
      <c r="C60" s="61">
        <f>SUM(C50:C58)</f>
        <v>153574311.86000001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263896505.44</v>
      </c>
      <c r="C62" s="61">
        <f>SUM(C47+C60)</f>
        <v>272978864.56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218274861.06</v>
      </c>
      <c r="F68" s="77">
        <f>SUM(F69:F73)</f>
        <v>227988779.54000002</v>
      </c>
    </row>
    <row r="69" spans="1:6" x14ac:dyDescent="0.25">
      <c r="A69" s="12"/>
      <c r="B69" s="54"/>
      <c r="C69" s="54"/>
      <c r="D69" s="103" t="s">
        <v>107</v>
      </c>
      <c r="E69" s="77">
        <v>30277045.489999998</v>
      </c>
      <c r="F69" s="77">
        <v>74659487.140000001</v>
      </c>
    </row>
    <row r="70" spans="1:6" x14ac:dyDescent="0.25">
      <c r="A70" s="12"/>
      <c r="B70" s="54"/>
      <c r="C70" s="54"/>
      <c r="D70" s="103" t="s">
        <v>108</v>
      </c>
      <c r="E70" s="77">
        <v>187997815.56999999</v>
      </c>
      <c r="F70" s="77">
        <v>153329292.40000001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262280968.31999999</v>
      </c>
      <c r="F79" s="61">
        <f>F63+F68+F75</f>
        <v>271994886.80000001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263896505.44</v>
      </c>
      <c r="F81" s="61">
        <f>F59+F79</f>
        <v>272978864.56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11811023622047245" right="0.31496062992125984" top="0.35433070866141736" bottom="0.35433070866141736" header="0.31496062992125984" footer="0.31496062992125984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51489598.439999998</v>
      </c>
      <c r="Q4" s="18">
        <f>'Formato 1'!C9</f>
        <v>89615001.310000002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48115045.479999997</v>
      </c>
      <c r="Q6" s="18">
        <f>'Formato 1'!C11</f>
        <v>58508282.829999998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3374552.96</v>
      </c>
      <c r="Q9" s="18">
        <f>'Formato 1'!C14</f>
        <v>31106718.48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32215889.030000001</v>
      </c>
      <c r="Q12" s="18">
        <f>'Formato 1'!C17</f>
        <v>27480823.100000001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9630772.9700000007</v>
      </c>
      <c r="Q14" s="18">
        <f>'Formato 1'!C19</f>
        <v>7701589.7400000002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2372774.88</v>
      </c>
      <c r="Q15" s="18">
        <f>'Formato 1'!C20</f>
        <v>1629243.5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20212341.18</v>
      </c>
      <c r="Q19" s="18">
        <f>'Formato 1'!C24</f>
        <v>18149989.859999999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12548110.880000001</v>
      </c>
      <c r="Q20" s="18">
        <f>'Formato 1'!C25</f>
        <v>4605719.22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12548110.880000001</v>
      </c>
      <c r="Q24" s="18">
        <f>'Formato 1'!C29</f>
        <v>4605719.22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-2467487.46</v>
      </c>
      <c r="Q34" s="18">
        <f>'Formato 1'!C38</f>
        <v>-2296990.9300000002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-2467487.46</v>
      </c>
      <c r="Q35" s="18">
        <f>'Formato 1'!C39</f>
        <v>-2296990.9300000002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93786110.890000001</v>
      </c>
      <c r="Q42" s="18">
        <f>'Formato 1'!C47</f>
        <v>119404552.69999999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176045722.11000001</v>
      </c>
      <c r="Q46">
        <f>'Formato 1'!C52</f>
        <v>156358826.90000001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-5935327.5599999996</v>
      </c>
      <c r="Q49">
        <f>'Formato 1'!C55</f>
        <v>-2784515.04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170110394.55000001</v>
      </c>
      <c r="Q53">
        <f>'Formato 1'!C60</f>
        <v>153574311.86000001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263896505.44</v>
      </c>
      <c r="Q54">
        <f>'Formato 1'!C62</f>
        <v>272978864.56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1572469.03</v>
      </c>
      <c r="Q57">
        <f>'Formato 1'!F9</f>
        <v>796842.78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1367263.29</v>
      </c>
      <c r="Q59">
        <f>'Formato 1'!F11</f>
        <v>473348.11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205205.74</v>
      </c>
      <c r="Q64">
        <f>'Formato 1'!F16</f>
        <v>323494.67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43068.09</v>
      </c>
      <c r="Q76">
        <f>'Formato 1'!F27</f>
        <v>187134.98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43068.09</v>
      </c>
      <c r="Q77">
        <f>'Formato 1'!F28</f>
        <v>187134.98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1615537.12</v>
      </c>
      <c r="Q95">
        <f>'Formato 1'!F47</f>
        <v>983977.76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1615537.12</v>
      </c>
      <c r="Q104">
        <f>'Formato 1'!F59</f>
        <v>983977.76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218274861.06</v>
      </c>
      <c r="Q110">
        <f>'Formato 1'!F68</f>
        <v>227988779.54000002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30277045.489999998</v>
      </c>
      <c r="Q111">
        <f>'Formato 1'!F69</f>
        <v>74659487.140000001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187997815.56999999</v>
      </c>
      <c r="Q112">
        <f>'Formato 1'!F70</f>
        <v>153329292.40000001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262280968.31999999</v>
      </c>
      <c r="Q119">
        <f>'Formato 1'!F79</f>
        <v>271994886.80000001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263896505.44</v>
      </c>
      <c r="Q120">
        <f>'Formato 1'!F81</f>
        <v>272978864.56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9" zoomScale="90" zoomScaleNormal="90" workbookViewId="0">
      <selection activeCell="H47" sqref="H4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x14ac:dyDescent="0.25">
      <c r="A4" s="157" t="str">
        <f>PERIODO_INFORME</f>
        <v>Al 31 de diciembre de 2018 y al 30 de septiembre de 2019 (b)</v>
      </c>
      <c r="B4" s="158"/>
      <c r="C4" s="158"/>
      <c r="D4" s="158"/>
      <c r="E4" s="158"/>
      <c r="F4" s="158"/>
      <c r="G4" s="158"/>
      <c r="H4" s="159"/>
    </row>
    <row r="5" spans="1:9" x14ac:dyDescent="0.2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983977.76</v>
      </c>
      <c r="C18" s="132"/>
      <c r="D18" s="132"/>
      <c r="E18" s="132"/>
      <c r="F18" s="61">
        <v>1615537.12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983977.76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1615537.12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983977.76</v>
      </c>
      <c r="Q12" s="18"/>
      <c r="R12" s="18"/>
      <c r="S12" s="18"/>
      <c r="T12" s="18">
        <f>'Formato 2'!F18</f>
        <v>1615537.12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983977.76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1615537.12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9" sqref="A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x14ac:dyDescent="0.25">
      <c r="A4" s="157" t="str">
        <f>TRIMESTRE</f>
        <v>Del 1 de enero al 30 de septiembre de 2019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x14ac:dyDescent="0.2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2019 (k)</v>
      </c>
      <c r="J6" s="131" t="str">
        <f>MONTO2</f>
        <v>Monto pagado de la inversión actualizado al 30 de septiembre de 2019 (l)</v>
      </c>
      <c r="K6" s="131" t="str">
        <f>SALDO_PENDIENTE</f>
        <v>Saldo pendiente por pagar de la inversión al 30 de septiembre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11811023622047245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7" workbookViewId="0">
      <selection activeCell="C75" sqref="C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x14ac:dyDescent="0.25">
      <c r="A3" s="154" t="s">
        <v>166</v>
      </c>
      <c r="B3" s="155"/>
      <c r="C3" s="155"/>
      <c r="D3" s="156"/>
    </row>
    <row r="4" spans="1:11" x14ac:dyDescent="0.25">
      <c r="A4" s="157" t="str">
        <f>TRIMESTRE</f>
        <v>Del 1 de enero al 30 de septiembre de 2019 (b)</v>
      </c>
      <c r="B4" s="158"/>
      <c r="C4" s="158"/>
      <c r="D4" s="159"/>
    </row>
    <row r="5" spans="1:11" x14ac:dyDescent="0.25">
      <c r="A5" s="160" t="s">
        <v>118</v>
      </c>
      <c r="B5" s="161"/>
      <c r="C5" s="161"/>
      <c r="D5" s="162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105653018</v>
      </c>
      <c r="C8" s="40">
        <f>SUM(C9:C11)</f>
        <v>50705887.969999999</v>
      </c>
      <c r="D8" s="40">
        <f>SUM(D9:D11)</f>
        <v>50705887.969999999</v>
      </c>
    </row>
    <row r="9" spans="1:11" x14ac:dyDescent="0.25">
      <c r="A9" s="53" t="s">
        <v>169</v>
      </c>
      <c r="B9" s="23">
        <v>105653018</v>
      </c>
      <c r="C9" s="23">
        <v>50705887.969999999</v>
      </c>
      <c r="D9" s="23">
        <v>50705887.969999999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105653018</v>
      </c>
      <c r="C13" s="40">
        <f>C14+C15</f>
        <v>69486772.099999994</v>
      </c>
      <c r="D13" s="40">
        <f>D14+D15</f>
        <v>69486772.099999994</v>
      </c>
    </row>
    <row r="14" spans="1:11" x14ac:dyDescent="0.25">
      <c r="A14" s="53" t="s">
        <v>172</v>
      </c>
      <c r="B14" s="23">
        <v>105653018</v>
      </c>
      <c r="C14" s="23">
        <v>69486772.099999994</v>
      </c>
      <c r="D14" s="23">
        <v>69486772.099999994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-18780884.129999995</v>
      </c>
      <c r="D21" s="40">
        <f>D8-D13+D17</f>
        <v>-18780884.129999995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-18780884.129999995</v>
      </c>
      <c r="D23" s="40">
        <f>D21-D11</f>
        <v>-18780884.129999995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-18780884.129999995</v>
      </c>
      <c r="D25" s="40">
        <f>D23-D17</f>
        <v>-18780884.129999995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-18780884.129999995</v>
      </c>
      <c r="D33" s="61">
        <f>D25+D29</f>
        <v>-18780884.129999995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105653018</v>
      </c>
      <c r="C48" s="124">
        <f>C9</f>
        <v>50705887.969999999</v>
      </c>
      <c r="D48" s="124">
        <f>D9</f>
        <v>50705887.969999999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105653018</v>
      </c>
      <c r="C53" s="60">
        <f>C14</f>
        <v>69486772.099999994</v>
      </c>
      <c r="D53" s="60">
        <f>D14</f>
        <v>69486772.099999994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-18780884.129999995</v>
      </c>
      <c r="D57" s="61">
        <f>D48+D49-D53+D55</f>
        <v>-18780884.129999995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-18780884.129999995</v>
      </c>
      <c r="D59" s="61">
        <f>D57-D49</f>
        <v>-18780884.129999995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105653018</v>
      </c>
      <c r="Q2" s="18">
        <f>'Formato 4'!C8</f>
        <v>50705887.969999999</v>
      </c>
      <c r="R2" s="18">
        <f>'Formato 4'!D8</f>
        <v>50705887.969999999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105653018</v>
      </c>
      <c r="Q3" s="18">
        <f>'Formato 4'!C9</f>
        <v>50705887.969999999</v>
      </c>
      <c r="R3" s="18">
        <f>'Formato 4'!D9</f>
        <v>50705887.969999999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105653018</v>
      </c>
      <c r="Q6" s="18">
        <f>'Formato 4'!C13</f>
        <v>69486772.099999994</v>
      </c>
      <c r="R6" s="18">
        <f>'Formato 4'!D13</f>
        <v>69486772.099999994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105653018</v>
      </c>
      <c r="Q7" s="18">
        <f>'Formato 4'!C14</f>
        <v>69486772.099999994</v>
      </c>
      <c r="R7" s="18">
        <f>'Formato 4'!D14</f>
        <v>69486772.099999994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-18780884.129999995</v>
      </c>
      <c r="R12" s="18">
        <f>'Formato 4'!D21</f>
        <v>-18780884.129999995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-18780884.129999995</v>
      </c>
      <c r="R13" s="18">
        <f>'Formato 4'!D23</f>
        <v>-18780884.129999995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-18780884.129999995</v>
      </c>
      <c r="R14" s="18">
        <f>'Formato 4'!D25</f>
        <v>-18780884.129999995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-18780884.129999995</v>
      </c>
      <c r="R18">
        <f>'Formato 4'!D33</f>
        <v>-18780884.129999995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105653018</v>
      </c>
      <c r="Q26">
        <f>'Formato 4'!C48</f>
        <v>50705887.969999999</v>
      </c>
      <c r="R26">
        <f>'Formato 4'!D48</f>
        <v>50705887.969999999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105653018</v>
      </c>
      <c r="Q30">
        <f>'Formato 4'!C53</f>
        <v>69486772.099999994</v>
      </c>
      <c r="R30">
        <f>'Formato 4'!D53</f>
        <v>69486772.099999994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abSelected="1" topLeftCell="A48" zoomScale="85" zoomScaleNormal="85" workbookViewId="0">
      <selection activeCell="E76" sqref="E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x14ac:dyDescent="0.25">
      <c r="A4" s="157" t="str">
        <f>TRIMESTRE</f>
        <v>Del 1 de enero al 30 de septiembre de 2019 (b)</v>
      </c>
      <c r="B4" s="158"/>
      <c r="C4" s="158"/>
      <c r="D4" s="158"/>
      <c r="E4" s="158"/>
      <c r="F4" s="158"/>
      <c r="G4" s="159"/>
    </row>
    <row r="5" spans="1:8" x14ac:dyDescent="0.2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765590.64</v>
      </c>
      <c r="F14" s="60">
        <v>765590.64</v>
      </c>
      <c r="G14" s="60">
        <f t="shared" si="0"/>
        <v>765590.64</v>
      </c>
    </row>
    <row r="15" spans="1:8" x14ac:dyDescent="0.25">
      <c r="A15" s="53" t="s">
        <v>222</v>
      </c>
      <c r="B15" s="60">
        <v>20653018</v>
      </c>
      <c r="C15" s="60">
        <v>2000000</v>
      </c>
      <c r="D15" s="60">
        <v>22653018</v>
      </c>
      <c r="E15" s="60">
        <v>21307126.390000001</v>
      </c>
      <c r="F15" s="60">
        <v>21307126.390000001</v>
      </c>
      <c r="G15" s="60">
        <f t="shared" si="0"/>
        <v>654108.3900000006</v>
      </c>
    </row>
    <row r="16" spans="1:8" x14ac:dyDescent="0.2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 t="shared" ref="B28:G28" si="3">SUM(B29:B33)</f>
        <v>0</v>
      </c>
      <c r="C28" s="60">
        <f t="shared" si="3"/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4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4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4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4"/>
        <v>0</v>
      </c>
    </row>
    <row r="35" spans="1:8" x14ac:dyDescent="0.25">
      <c r="A35" s="53" t="s">
        <v>241</v>
      </c>
      <c r="B35" s="60">
        <f t="shared" ref="B35:G35" si="5">B36</f>
        <v>85000000</v>
      </c>
      <c r="C35" s="60">
        <f t="shared" si="5"/>
        <v>16370000</v>
      </c>
      <c r="D35" s="60">
        <f t="shared" si="5"/>
        <v>101370000</v>
      </c>
      <c r="E35" s="60">
        <f t="shared" si="5"/>
        <v>28633170.940000001</v>
      </c>
      <c r="F35" s="60">
        <f t="shared" si="5"/>
        <v>28633170.940000001</v>
      </c>
      <c r="G35" s="60">
        <f t="shared" si="5"/>
        <v>-56366829.060000002</v>
      </c>
    </row>
    <row r="36" spans="1:8" x14ac:dyDescent="0.25">
      <c r="A36" s="63" t="s">
        <v>242</v>
      </c>
      <c r="B36" s="60">
        <v>85000000</v>
      </c>
      <c r="C36" s="60">
        <v>16370000</v>
      </c>
      <c r="D36" s="60">
        <v>101370000</v>
      </c>
      <c r="E36" s="60">
        <v>28633170.940000001</v>
      </c>
      <c r="F36" s="60">
        <v>28633170.940000001</v>
      </c>
      <c r="G36" s="60">
        <f>F36-B36</f>
        <v>-56366829.060000002</v>
      </c>
    </row>
    <row r="37" spans="1:8" x14ac:dyDescent="0.25">
      <c r="A37" s="53" t="s">
        <v>243</v>
      </c>
      <c r="B37" s="60">
        <f t="shared" ref="B37:G37" si="6">B38+B39</f>
        <v>0</v>
      </c>
      <c r="C37" s="60">
        <f t="shared" si="6"/>
        <v>0</v>
      </c>
      <c r="D37" s="60">
        <f t="shared" si="6"/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105653018</v>
      </c>
      <c r="C41" s="61">
        <f t="shared" si="7"/>
        <v>18370000</v>
      </c>
      <c r="D41" s="61">
        <f t="shared" si="7"/>
        <v>124023018</v>
      </c>
      <c r="E41" s="61">
        <f t="shared" si="7"/>
        <v>50705887.969999999</v>
      </c>
      <c r="F41" s="61">
        <f t="shared" si="7"/>
        <v>50705887.969999999</v>
      </c>
      <c r="G41" s="61">
        <f t="shared" si="7"/>
        <v>-54947130.030000001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8">SUM(B46:B53)</f>
        <v>0</v>
      </c>
      <c r="C45" s="60">
        <f t="shared" si="8"/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 t="shared" ref="B54:G54" si="10">SUM(B55:B58)</f>
        <v>0</v>
      </c>
      <c r="C54" s="60">
        <f t="shared" si="10"/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11">SUM(B60:B61)</f>
        <v>0</v>
      </c>
      <c r="C59" s="60">
        <f t="shared" si="11"/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0</v>
      </c>
      <c r="C65" s="61">
        <f t="shared" si="12"/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3">B68</f>
        <v>0</v>
      </c>
      <c r="C67" s="61">
        <f t="shared" si="13"/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105653018</v>
      </c>
      <c r="C70" s="61">
        <f t="shared" si="14"/>
        <v>18370000</v>
      </c>
      <c r="D70" s="61">
        <f t="shared" si="14"/>
        <v>124023018</v>
      </c>
      <c r="E70" s="61">
        <f t="shared" si="14"/>
        <v>50705887.969999999</v>
      </c>
      <c r="F70" s="61">
        <f t="shared" si="14"/>
        <v>50705887.969999999</v>
      </c>
      <c r="G70" s="61">
        <f t="shared" si="14"/>
        <v>-54947130.030000001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5">B73+B74</f>
        <v>0</v>
      </c>
      <c r="C75" s="61">
        <f t="shared" si="15"/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765590.64</v>
      </c>
      <c r="T8" s="18">
        <f>'Formato 5'!F14</f>
        <v>765590.64</v>
      </c>
      <c r="U8" s="18">
        <f>'Formato 5'!G14</f>
        <v>765590.64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20653018</v>
      </c>
      <c r="Q9" s="18">
        <f>'Formato 5'!C15</f>
        <v>2000000</v>
      </c>
      <c r="R9" s="18">
        <f>'Formato 5'!D15</f>
        <v>22653018</v>
      </c>
      <c r="S9" s="18">
        <f>'Formato 5'!E15</f>
        <v>21307126.390000001</v>
      </c>
      <c r="T9" s="18">
        <f>'Formato 5'!F15</f>
        <v>21307126.390000001</v>
      </c>
      <c r="U9" s="18">
        <f>'Formato 5'!G15</f>
        <v>654108.3900000006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85000000</v>
      </c>
      <c r="Q29" s="18">
        <f>'Formato 5'!C35</f>
        <v>16370000</v>
      </c>
      <c r="R29" s="18">
        <f>'Formato 5'!D35</f>
        <v>101370000</v>
      </c>
      <c r="S29" s="18">
        <f>'Formato 5'!E35</f>
        <v>28633170.940000001</v>
      </c>
      <c r="T29" s="18">
        <f>'Formato 5'!F35</f>
        <v>28633170.940000001</v>
      </c>
      <c r="U29" s="18">
        <f>'Formato 5'!G35</f>
        <v>-56366829.060000002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85000000</v>
      </c>
      <c r="Q30" s="18">
        <f>'Formato 5'!C36</f>
        <v>16370000</v>
      </c>
      <c r="R30" s="18">
        <f>'Formato 5'!D36</f>
        <v>101370000</v>
      </c>
      <c r="S30" s="18">
        <f>'Formato 5'!E36</f>
        <v>28633170.940000001</v>
      </c>
      <c r="T30" s="18">
        <f>'Formato 5'!F36</f>
        <v>28633170.940000001</v>
      </c>
      <c r="U30" s="18">
        <f>'Formato 5'!G36</f>
        <v>-56366829.060000002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105653018</v>
      </c>
      <c r="Q34">
        <f>'Formato 5'!C41</f>
        <v>18370000</v>
      </c>
      <c r="R34">
        <f>'Formato 5'!D41</f>
        <v>124023018</v>
      </c>
      <c r="S34">
        <f>'Formato 5'!E41</f>
        <v>50705887.969999999</v>
      </c>
      <c r="T34">
        <f>'Formato 5'!F41</f>
        <v>50705887.969999999</v>
      </c>
      <c r="U34">
        <f>'Formato 5'!G41</f>
        <v>-54947130.030000001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zoomScale="80" zoomScaleNormal="80" zoomScalePageLayoutView="90" workbookViewId="0">
      <selection activeCell="F60" sqref="F60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x14ac:dyDescent="0.2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x14ac:dyDescent="0.25">
      <c r="A5" s="175" t="str">
        <f>TRIMESTRE</f>
        <v>Del 1 de enero al 30 de septiembre de 2019 (b)</v>
      </c>
      <c r="B5" s="175"/>
      <c r="C5" s="175"/>
      <c r="D5" s="175"/>
      <c r="E5" s="175"/>
      <c r="F5" s="175"/>
      <c r="G5" s="175"/>
    </row>
    <row r="6" spans="1:7" x14ac:dyDescent="0.2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x14ac:dyDescent="0.25">
      <c r="A9" s="82" t="s">
        <v>285</v>
      </c>
      <c r="B9" s="79">
        <f t="shared" ref="B9:G9" si="0">SUM(B10,B18,B28,B38,B48,B58,B62,B71,B75)</f>
        <v>105653018</v>
      </c>
      <c r="C9" s="79">
        <f>SUM(C10,C18,C28,C38,C48,C58,C62,C71,C75)</f>
        <v>18370000</v>
      </c>
      <c r="D9" s="79">
        <f>SUM(D10,D18,D28,D38,D48,D58,D62,D71,D75)</f>
        <v>124023018</v>
      </c>
      <c r="E9" s="79">
        <f t="shared" si="0"/>
        <v>69486772.099999994</v>
      </c>
      <c r="F9" s="79">
        <f t="shared" si="0"/>
        <v>69486772.099999994</v>
      </c>
      <c r="G9" s="79">
        <f t="shared" si="0"/>
        <v>54536245.899999999</v>
      </c>
    </row>
    <row r="10" spans="1:7" x14ac:dyDescent="0.25">
      <c r="A10" s="83" t="s">
        <v>286</v>
      </c>
      <c r="B10" s="80">
        <f t="shared" ref="B10:G10" si="1">SUM(B11:B17)</f>
        <v>1750000</v>
      </c>
      <c r="C10" s="80">
        <f t="shared" si="1"/>
        <v>0</v>
      </c>
      <c r="D10" s="80">
        <f t="shared" si="1"/>
        <v>1750000</v>
      </c>
      <c r="E10" s="80">
        <f t="shared" si="1"/>
        <v>111961.05</v>
      </c>
      <c r="F10" s="80">
        <f t="shared" si="1"/>
        <v>111961.05</v>
      </c>
      <c r="G10" s="80">
        <f t="shared" si="1"/>
        <v>1638038.95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2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2"/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2"/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2"/>
        <v>0</v>
      </c>
    </row>
    <row r="15" spans="1:7" x14ac:dyDescent="0.25">
      <c r="A15" s="84" t="s">
        <v>291</v>
      </c>
      <c r="B15" s="80">
        <v>1750000</v>
      </c>
      <c r="C15" s="80">
        <v>0</v>
      </c>
      <c r="D15" s="80">
        <v>1750000</v>
      </c>
      <c r="E15" s="80">
        <v>111961.05</v>
      </c>
      <c r="F15" s="80">
        <v>111961.05</v>
      </c>
      <c r="G15" s="80">
        <f>D15-E15</f>
        <v>1638038.95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25">
      <c r="A18" s="83" t="s">
        <v>294</v>
      </c>
      <c r="B18" s="80">
        <f t="shared" ref="B18:G18" si="3">SUM(B19:B27)</f>
        <v>0</v>
      </c>
      <c r="C18" s="80">
        <f t="shared" si="3"/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 t="shared" si="3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4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4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4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4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4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4"/>
        <v>0</v>
      </c>
    </row>
    <row r="28" spans="1:7" x14ac:dyDescent="0.25">
      <c r="A28" s="83" t="s">
        <v>304</v>
      </c>
      <c r="B28" s="80">
        <f t="shared" ref="B28:G28" si="5">SUM(B29:B37)</f>
        <v>18903018</v>
      </c>
      <c r="C28" s="80">
        <f t="shared" si="5"/>
        <v>2000000</v>
      </c>
      <c r="D28" s="80">
        <f t="shared" si="5"/>
        <v>20903018</v>
      </c>
      <c r="E28" s="80">
        <f t="shared" si="5"/>
        <v>16995572.379999999</v>
      </c>
      <c r="F28" s="80">
        <f t="shared" si="5"/>
        <v>16995572.379999999</v>
      </c>
      <c r="G28" s="80">
        <f t="shared" si="5"/>
        <v>3907445.6200000015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2463863.04</v>
      </c>
      <c r="C30" s="80">
        <v>2000000</v>
      </c>
      <c r="D30" s="80">
        <v>4463863.04</v>
      </c>
      <c r="E30" s="80">
        <v>4033813.23</v>
      </c>
      <c r="F30" s="80">
        <v>4033813.23</v>
      </c>
      <c r="G30" s="80">
        <f t="shared" ref="G30:G37" si="6">D30-E30</f>
        <v>430049.81000000006</v>
      </c>
    </row>
    <row r="31" spans="1:7" x14ac:dyDescent="0.25">
      <c r="A31" s="84" t="s">
        <v>307</v>
      </c>
      <c r="B31" s="80">
        <v>16435154.960000001</v>
      </c>
      <c r="C31" s="80">
        <v>0</v>
      </c>
      <c r="D31" s="80">
        <v>16435154.960000001</v>
      </c>
      <c r="E31" s="80">
        <v>12959045.6</v>
      </c>
      <c r="F31" s="80">
        <v>12959045.6</v>
      </c>
      <c r="G31" s="80">
        <f t="shared" si="6"/>
        <v>3476109.3600000013</v>
      </c>
    </row>
    <row r="32" spans="1:7" x14ac:dyDescent="0.25">
      <c r="A32" s="84" t="s">
        <v>308</v>
      </c>
      <c r="B32" s="80">
        <v>4000</v>
      </c>
      <c r="C32" s="80">
        <v>0</v>
      </c>
      <c r="D32" s="80">
        <v>4000</v>
      </c>
      <c r="E32" s="80">
        <v>2713.55</v>
      </c>
      <c r="F32" s="80">
        <v>2713.55</v>
      </c>
      <c r="G32" s="80">
        <f t="shared" si="6"/>
        <v>1286.4499999999998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6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6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6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6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6"/>
        <v>0</v>
      </c>
    </row>
    <row r="38" spans="1:7" x14ac:dyDescent="0.25">
      <c r="A38" s="83" t="s">
        <v>314</v>
      </c>
      <c r="B38" s="80">
        <f t="shared" ref="B38:G38" si="7">SUM(B39:B47)</f>
        <v>0</v>
      </c>
      <c r="C38" s="80">
        <f t="shared" si="7"/>
        <v>0</v>
      </c>
      <c r="D38" s="80">
        <f t="shared" si="7"/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8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8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8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8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8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8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8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8"/>
        <v>0</v>
      </c>
    </row>
    <row r="48" spans="1:7" x14ac:dyDescent="0.25">
      <c r="A48" s="83" t="s">
        <v>324</v>
      </c>
      <c r="B48" s="80">
        <f t="shared" ref="B48:G48" si="9">SUM(B49:B57)</f>
        <v>0</v>
      </c>
      <c r="C48" s="80">
        <f t="shared" si="9"/>
        <v>0</v>
      </c>
      <c r="D48" s="80">
        <f t="shared" si="9"/>
        <v>0</v>
      </c>
      <c r="E48" s="80">
        <f t="shared" si="9"/>
        <v>0</v>
      </c>
      <c r="F48" s="80">
        <f t="shared" si="9"/>
        <v>0</v>
      </c>
      <c r="G48" s="80">
        <f t="shared" si="9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10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10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10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10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10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10"/>
        <v>0</v>
      </c>
    </row>
    <row r="58" spans="1:7" x14ac:dyDescent="0.25">
      <c r="A58" s="83" t="s">
        <v>334</v>
      </c>
      <c r="B58" s="80">
        <f t="shared" ref="B58:G58" si="11">SUM(B59:B61)</f>
        <v>85000000</v>
      </c>
      <c r="C58" s="80">
        <f t="shared" si="11"/>
        <v>16370000</v>
      </c>
      <c r="D58" s="80">
        <f t="shared" si="11"/>
        <v>101370000</v>
      </c>
      <c r="E58" s="80">
        <f t="shared" si="11"/>
        <v>52379238.670000002</v>
      </c>
      <c r="F58" s="80">
        <f t="shared" si="11"/>
        <v>52379238.670000002</v>
      </c>
      <c r="G58" s="80">
        <f t="shared" si="11"/>
        <v>48990761.329999998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85000000</v>
      </c>
      <c r="C60" s="80">
        <v>16370000</v>
      </c>
      <c r="D60" s="80">
        <v>101370000</v>
      </c>
      <c r="E60" s="80">
        <v>52379238.670000002</v>
      </c>
      <c r="F60" s="80">
        <v>52379238.670000002</v>
      </c>
      <c r="G60" s="80">
        <f>D60-E60</f>
        <v>48990761.329999998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2">SUM(B63:B67,B69:B70)</f>
        <v>0</v>
      </c>
      <c r="C62" s="80">
        <f t="shared" si="12"/>
        <v>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2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3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3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3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3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3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3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3"/>
        <v>0</v>
      </c>
    </row>
    <row r="71" spans="1:7" x14ac:dyDescent="0.25">
      <c r="A71" s="83" t="s">
        <v>347</v>
      </c>
      <c r="B71" s="80">
        <f t="shared" ref="B71:G71" si="14">SUM(B72:B74)</f>
        <v>0</v>
      </c>
      <c r="C71" s="80">
        <f t="shared" si="14"/>
        <v>0</v>
      </c>
      <c r="D71" s="80">
        <f t="shared" si="14"/>
        <v>0</v>
      </c>
      <c r="E71" s="80">
        <f t="shared" si="14"/>
        <v>0</v>
      </c>
      <c r="F71" s="80">
        <f t="shared" si="14"/>
        <v>0</v>
      </c>
      <c r="G71" s="80">
        <f t="shared" si="14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5">SUM(B76:B82)</f>
        <v>0</v>
      </c>
      <c r="C75" s="80">
        <f t="shared" si="15"/>
        <v>0</v>
      </c>
      <c r="D75" s="80">
        <f t="shared" si="15"/>
        <v>0</v>
      </c>
      <c r="E75" s="80">
        <f t="shared" si="15"/>
        <v>0</v>
      </c>
      <c r="F75" s="80">
        <f t="shared" si="15"/>
        <v>0</v>
      </c>
      <c r="G75" s="80">
        <f t="shared" si="15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6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6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6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6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6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6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7">SUM(B85,B93,B103,B113,B123,B133,B137,B146,B150)</f>
        <v>0</v>
      </c>
      <c r="C84" s="79">
        <f t="shared" si="17"/>
        <v>0</v>
      </c>
      <c r="D84" s="79">
        <f t="shared" si="17"/>
        <v>0</v>
      </c>
      <c r="E84" s="79">
        <f t="shared" si="17"/>
        <v>0</v>
      </c>
      <c r="F84" s="79">
        <f t="shared" si="17"/>
        <v>0</v>
      </c>
      <c r="G84" s="79">
        <f t="shared" si="17"/>
        <v>0</v>
      </c>
    </row>
    <row r="85" spans="1:7" x14ac:dyDescent="0.25">
      <c r="A85" s="83" t="s">
        <v>286</v>
      </c>
      <c r="B85" s="80">
        <f t="shared" ref="B85:G85" si="18">SUM(B86:B92)</f>
        <v>0</v>
      </c>
      <c r="C85" s="80">
        <f t="shared" si="18"/>
        <v>0</v>
      </c>
      <c r="D85" s="80">
        <f t="shared" si="18"/>
        <v>0</v>
      </c>
      <c r="E85" s="80">
        <f t="shared" si="18"/>
        <v>0</v>
      </c>
      <c r="F85" s="80">
        <f t="shared" si="18"/>
        <v>0</v>
      </c>
      <c r="G85" s="80">
        <f t="shared" si="18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9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9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9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9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9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9"/>
        <v>0</v>
      </c>
    </row>
    <row r="93" spans="1:7" x14ac:dyDescent="0.25">
      <c r="A93" s="83" t="s">
        <v>294</v>
      </c>
      <c r="B93" s="80">
        <f t="shared" ref="B93:G93" si="20">SUM(B94:B102)</f>
        <v>0</v>
      </c>
      <c r="C93" s="80">
        <f t="shared" si="20"/>
        <v>0</v>
      </c>
      <c r="D93" s="80">
        <f t="shared" si="20"/>
        <v>0</v>
      </c>
      <c r="E93" s="80">
        <f t="shared" si="20"/>
        <v>0</v>
      </c>
      <c r="F93" s="80">
        <f t="shared" si="20"/>
        <v>0</v>
      </c>
      <c r="G93" s="80">
        <f t="shared" si="20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1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1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1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1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1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1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1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1"/>
        <v>0</v>
      </c>
    </row>
    <row r="103" spans="1:7" x14ac:dyDescent="0.25">
      <c r="A103" s="83" t="s">
        <v>304</v>
      </c>
      <c r="B103" s="80">
        <f t="shared" ref="B103:G103" si="22">SUM(B104:B112)</f>
        <v>0</v>
      </c>
      <c r="C103" s="80">
        <f t="shared" si="22"/>
        <v>0</v>
      </c>
      <c r="D103" s="80">
        <f t="shared" si="22"/>
        <v>0</v>
      </c>
      <c r="E103" s="80">
        <f t="shared" si="22"/>
        <v>0</v>
      </c>
      <c r="F103" s="80">
        <f t="shared" si="22"/>
        <v>0</v>
      </c>
      <c r="G103" s="80">
        <f t="shared" si="22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3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3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3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3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3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3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3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3"/>
        <v>0</v>
      </c>
    </row>
    <row r="113" spans="1:7" x14ac:dyDescent="0.25">
      <c r="A113" s="83" t="s">
        <v>314</v>
      </c>
      <c r="B113" s="80">
        <f t="shared" ref="B113:G113" si="24">SUM(B114:B122)</f>
        <v>0</v>
      </c>
      <c r="C113" s="80">
        <f t="shared" si="24"/>
        <v>0</v>
      </c>
      <c r="D113" s="80">
        <f t="shared" si="24"/>
        <v>0</v>
      </c>
      <c r="E113" s="80">
        <f t="shared" si="24"/>
        <v>0</v>
      </c>
      <c r="F113" s="80">
        <f t="shared" si="24"/>
        <v>0</v>
      </c>
      <c r="G113" s="80">
        <f t="shared" si="2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5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5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5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5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5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5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5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5"/>
        <v>0</v>
      </c>
    </row>
    <row r="123" spans="1:7" x14ac:dyDescent="0.25">
      <c r="A123" s="83" t="s">
        <v>324</v>
      </c>
      <c r="B123" s="80">
        <f t="shared" ref="B123:G123" si="26">SUM(B124:B132)</f>
        <v>0</v>
      </c>
      <c r="C123" s="80">
        <f t="shared" si="26"/>
        <v>0</v>
      </c>
      <c r="D123" s="80">
        <f t="shared" si="26"/>
        <v>0</v>
      </c>
      <c r="E123" s="80">
        <f t="shared" si="26"/>
        <v>0</v>
      </c>
      <c r="F123" s="80">
        <f t="shared" si="26"/>
        <v>0</v>
      </c>
      <c r="G123" s="80">
        <f t="shared" si="26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7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7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7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7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7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7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7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7"/>
        <v>0</v>
      </c>
    </row>
    <row r="133" spans="1:7" x14ac:dyDescent="0.25">
      <c r="A133" s="83" t="s">
        <v>334</v>
      </c>
      <c r="B133" s="80">
        <f t="shared" ref="B133:G133" si="28">SUM(B134:B136)</f>
        <v>0</v>
      </c>
      <c r="C133" s="80">
        <f t="shared" si="28"/>
        <v>0</v>
      </c>
      <c r="D133" s="80">
        <f t="shared" si="28"/>
        <v>0</v>
      </c>
      <c r="E133" s="80">
        <f t="shared" si="28"/>
        <v>0</v>
      </c>
      <c r="F133" s="80">
        <f t="shared" si="28"/>
        <v>0</v>
      </c>
      <c r="G133" s="80">
        <f t="shared" si="28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9">SUM(B138:B142,B144:B145)</f>
        <v>0</v>
      </c>
      <c r="C137" s="80">
        <f t="shared" si="29"/>
        <v>0</v>
      </c>
      <c r="D137" s="80">
        <f t="shared" si="29"/>
        <v>0</v>
      </c>
      <c r="E137" s="80">
        <f t="shared" si="29"/>
        <v>0</v>
      </c>
      <c r="F137" s="80">
        <f t="shared" si="29"/>
        <v>0</v>
      </c>
      <c r="G137" s="80">
        <f t="shared" si="29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0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0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0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0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>D143-E143</f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>D144-E144</f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0"/>
        <v>0</v>
      </c>
    </row>
    <row r="146" spans="1:7" x14ac:dyDescent="0.25">
      <c r="A146" s="83" t="s">
        <v>347</v>
      </c>
      <c r="B146" s="80">
        <f t="shared" ref="B146:G146" si="31">SUM(B147:B149)</f>
        <v>0</v>
      </c>
      <c r="C146" s="80">
        <f t="shared" si="31"/>
        <v>0</v>
      </c>
      <c r="D146" s="80">
        <f t="shared" si="31"/>
        <v>0</v>
      </c>
      <c r="E146" s="80">
        <f t="shared" si="31"/>
        <v>0</v>
      </c>
      <c r="F146" s="80">
        <f t="shared" si="31"/>
        <v>0</v>
      </c>
      <c r="G146" s="80">
        <f t="shared" si="31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2">SUM(B151:B157)</f>
        <v>0</v>
      </c>
      <c r="C150" s="80">
        <f t="shared" si="32"/>
        <v>0</v>
      </c>
      <c r="D150" s="80">
        <f t="shared" si="32"/>
        <v>0</v>
      </c>
      <c r="E150" s="80">
        <f t="shared" si="32"/>
        <v>0</v>
      </c>
      <c r="F150" s="80">
        <f t="shared" si="32"/>
        <v>0</v>
      </c>
      <c r="G150" s="80">
        <f t="shared" si="32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3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3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3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3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3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3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4">B9+B84</f>
        <v>105653018</v>
      </c>
      <c r="C159" s="79">
        <f t="shared" si="34"/>
        <v>18370000</v>
      </c>
      <c r="D159" s="79">
        <f t="shared" si="34"/>
        <v>124023018</v>
      </c>
      <c r="E159" s="79">
        <f t="shared" si="34"/>
        <v>69486772.099999994</v>
      </c>
      <c r="F159" s="79">
        <f t="shared" si="34"/>
        <v>69486772.099999994</v>
      </c>
      <c r="G159" s="79">
        <f t="shared" si="34"/>
        <v>54536245.899999999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105653018</v>
      </c>
      <c r="Q2" s="18">
        <f>'Formato 6 a)'!C9</f>
        <v>18370000</v>
      </c>
      <c r="R2" s="18">
        <f>'Formato 6 a)'!D9</f>
        <v>124023018</v>
      </c>
      <c r="S2" s="18">
        <f>'Formato 6 a)'!E9</f>
        <v>69486772.099999994</v>
      </c>
      <c r="T2" s="18">
        <f>'Formato 6 a)'!F9</f>
        <v>69486772.099999994</v>
      </c>
      <c r="U2" s="18">
        <f>'Formato 6 a)'!G9</f>
        <v>54536245.899999999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1750000</v>
      </c>
      <c r="Q3" s="18">
        <f>'Formato 6 a)'!C10</f>
        <v>0</v>
      </c>
      <c r="R3" s="18">
        <f>'Formato 6 a)'!D10</f>
        <v>1750000</v>
      </c>
      <c r="S3" s="18">
        <f>'Formato 6 a)'!E10</f>
        <v>111961.05</v>
      </c>
      <c r="T3" s="18">
        <f>'Formato 6 a)'!F10</f>
        <v>111961.05</v>
      </c>
      <c r="U3" s="18">
        <f>'Formato 6 a)'!G10</f>
        <v>1638038.95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1750000</v>
      </c>
      <c r="Q8" s="18">
        <f>'Formato 6 a)'!C15</f>
        <v>0</v>
      </c>
      <c r="R8" s="18">
        <f>'Formato 6 a)'!D15</f>
        <v>1750000</v>
      </c>
      <c r="S8" s="18">
        <f>'Formato 6 a)'!E15</f>
        <v>111961.05</v>
      </c>
      <c r="T8" s="18">
        <f>'Formato 6 a)'!F15</f>
        <v>111961.05</v>
      </c>
      <c r="U8" s="18">
        <f>'Formato 6 a)'!G15</f>
        <v>1638038.95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18903018</v>
      </c>
      <c r="Q21" s="18">
        <f>'Formato 6 a)'!C28</f>
        <v>2000000</v>
      </c>
      <c r="R21" s="18">
        <f>'Formato 6 a)'!D28</f>
        <v>20903018</v>
      </c>
      <c r="S21" s="18">
        <f>'Formato 6 a)'!E28</f>
        <v>16995572.379999999</v>
      </c>
      <c r="T21" s="18">
        <f>'Formato 6 a)'!F28</f>
        <v>16995572.379999999</v>
      </c>
      <c r="U21" s="18">
        <f>'Formato 6 a)'!G28</f>
        <v>3907445.6200000015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2463863.04</v>
      </c>
      <c r="Q23" s="18">
        <f>'Formato 6 a)'!C30</f>
        <v>2000000</v>
      </c>
      <c r="R23" s="18">
        <f>'Formato 6 a)'!D30</f>
        <v>4463863.04</v>
      </c>
      <c r="S23" s="18">
        <f>'Formato 6 a)'!E30</f>
        <v>4033813.23</v>
      </c>
      <c r="T23" s="18">
        <f>'Formato 6 a)'!F30</f>
        <v>4033813.23</v>
      </c>
      <c r="U23" s="18">
        <f>'Formato 6 a)'!G30</f>
        <v>430049.81000000006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16435154.960000001</v>
      </c>
      <c r="Q24" s="18">
        <f>'Formato 6 a)'!C31</f>
        <v>0</v>
      </c>
      <c r="R24" s="18">
        <f>'Formato 6 a)'!D31</f>
        <v>16435154.960000001</v>
      </c>
      <c r="S24" s="18">
        <f>'Formato 6 a)'!E31</f>
        <v>12959045.6</v>
      </c>
      <c r="T24" s="18">
        <f>'Formato 6 a)'!F31</f>
        <v>12959045.6</v>
      </c>
      <c r="U24" s="18">
        <f>'Formato 6 a)'!G31</f>
        <v>3476109.3600000013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4000</v>
      </c>
      <c r="Q25" s="18">
        <f>'Formato 6 a)'!C32</f>
        <v>0</v>
      </c>
      <c r="R25" s="18">
        <f>'Formato 6 a)'!D32</f>
        <v>4000</v>
      </c>
      <c r="S25" s="18">
        <f>'Formato 6 a)'!E32</f>
        <v>2713.55</v>
      </c>
      <c r="T25" s="18">
        <f>'Formato 6 a)'!F32</f>
        <v>2713.55</v>
      </c>
      <c r="U25" s="18">
        <f>'Formato 6 a)'!G32</f>
        <v>1286.4499999999998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85000000</v>
      </c>
      <c r="Q51" s="18">
        <f>'Formato 6 a)'!C58</f>
        <v>16370000</v>
      </c>
      <c r="R51" s="18">
        <f>'Formato 6 a)'!D58</f>
        <v>101370000</v>
      </c>
      <c r="S51" s="18">
        <f>'Formato 6 a)'!E58</f>
        <v>52379238.670000002</v>
      </c>
      <c r="T51" s="18">
        <f>'Formato 6 a)'!F58</f>
        <v>52379238.670000002</v>
      </c>
      <c r="U51" s="18">
        <f>'Formato 6 a)'!G58</f>
        <v>48990761.329999998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85000000</v>
      </c>
      <c r="Q53" s="18">
        <f>'Formato 6 a)'!C60</f>
        <v>16370000</v>
      </c>
      <c r="R53" s="18">
        <f>'Formato 6 a)'!D60</f>
        <v>101370000</v>
      </c>
      <c r="S53" s="18">
        <f>'Formato 6 a)'!E60</f>
        <v>52379238.670000002</v>
      </c>
      <c r="T53" s="18">
        <f>'Formato 6 a)'!F60</f>
        <v>52379238.670000002</v>
      </c>
      <c r="U53" s="18">
        <f>'Formato 6 a)'!G60</f>
        <v>48990761.329999998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105653018</v>
      </c>
      <c r="Q150">
        <f>'Formato 6 a)'!C159</f>
        <v>18370000</v>
      </c>
      <c r="R150">
        <f>'Formato 6 a)'!D159</f>
        <v>124023018</v>
      </c>
      <c r="S150">
        <f>'Formato 6 a)'!E159</f>
        <v>69486772.099999994</v>
      </c>
      <c r="T150">
        <f>'Formato 6 a)'!F159</f>
        <v>69486772.099999994</v>
      </c>
      <c r="U150">
        <f>'Formato 6 a)'!G159</f>
        <v>54536245.899999999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4" zoomScale="90" zoomScaleNormal="90" workbookViewId="0">
      <selection activeCell="E24" sqref="E2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septiembre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x14ac:dyDescent="0.25">
      <c r="A9" s="52" t="s">
        <v>440</v>
      </c>
      <c r="B9" s="59">
        <f>SUM(B10:GASTO_NE_FIN_01)</f>
        <v>105653018</v>
      </c>
      <c r="C9" s="59">
        <f>SUM(C10:GASTO_NE_FIN_02)</f>
        <v>18370000</v>
      </c>
      <c r="D9" s="59">
        <f>SUM(D10:GASTO_NE_FIN_03)</f>
        <v>124023018</v>
      </c>
      <c r="E9" s="59">
        <f>SUM(E10:GASTO_NE_FIN_04)</f>
        <v>69486772.099999994</v>
      </c>
      <c r="F9" s="59">
        <f>SUM(F10:GASTO_NE_FIN_05)</f>
        <v>69448731.129999995</v>
      </c>
      <c r="G9" s="59">
        <f>SUM(G10:GASTO_NE_FIN_06)</f>
        <v>54536245.899999999</v>
      </c>
    </row>
    <row r="10" spans="1:7" s="24" customFormat="1" x14ac:dyDescent="0.25">
      <c r="A10" s="146" t="s">
        <v>3303</v>
      </c>
      <c r="B10" s="60">
        <v>1750000</v>
      </c>
      <c r="C10" s="60">
        <v>0</v>
      </c>
      <c r="D10" s="60">
        <v>1750000</v>
      </c>
      <c r="E10" s="60">
        <v>111961.05</v>
      </c>
      <c r="F10" s="60">
        <v>73920.08</v>
      </c>
      <c r="G10" s="77">
        <f>D10-E10</f>
        <v>1638038.95</v>
      </c>
    </row>
    <row r="11" spans="1:7" s="24" customFormat="1" x14ac:dyDescent="0.25">
      <c r="A11" s="146" t="s">
        <v>3304</v>
      </c>
      <c r="B11" s="60">
        <v>18903018</v>
      </c>
      <c r="C11" s="60">
        <v>2000000</v>
      </c>
      <c r="D11" s="60">
        <v>20903018</v>
      </c>
      <c r="E11" s="60">
        <v>16995572.379999999</v>
      </c>
      <c r="F11" s="60">
        <v>16995572.379999999</v>
      </c>
      <c r="G11" s="77">
        <f>D11-E11</f>
        <v>3907445.620000001</v>
      </c>
    </row>
    <row r="12" spans="1:7" s="24" customFormat="1" x14ac:dyDescent="0.25">
      <c r="A12" s="146" t="s">
        <v>3305</v>
      </c>
      <c r="B12" s="60">
        <v>85000000</v>
      </c>
      <c r="C12" s="60">
        <v>16370000</v>
      </c>
      <c r="D12" s="60">
        <v>101370000</v>
      </c>
      <c r="E12" s="60">
        <v>52379238.670000002</v>
      </c>
      <c r="F12" s="60">
        <v>52379238.670000002</v>
      </c>
      <c r="G12" s="77">
        <f>D12-E12</f>
        <v>48990761.329999998</v>
      </c>
    </row>
    <row r="13" spans="1:7" x14ac:dyDescent="0.25">
      <c r="A13" s="76" t="s">
        <v>686</v>
      </c>
      <c r="B13" s="54"/>
      <c r="C13" s="54"/>
      <c r="D13" s="54"/>
      <c r="E13" s="54"/>
      <c r="F13" s="54"/>
      <c r="G13" s="54"/>
    </row>
    <row r="14" spans="1:7" s="24" customFormat="1" x14ac:dyDescent="0.25">
      <c r="A14" s="55" t="s">
        <v>441</v>
      </c>
      <c r="B14" s="61">
        <f>SUM(B15:GASTO_E_FIN_01)</f>
        <v>0</v>
      </c>
      <c r="C14" s="61">
        <f>SUM(C15:GASTO_E_FIN_02)</f>
        <v>0</v>
      </c>
      <c r="D14" s="61">
        <f>SUM(D15:GASTO_E_FIN_03)</f>
        <v>0</v>
      </c>
      <c r="E14" s="61">
        <f>SUM(E15:GASTO_E_FIN_04)</f>
        <v>0</v>
      </c>
      <c r="F14" s="61">
        <f>SUM(F15:GASTO_E_FIN_05)</f>
        <v>0</v>
      </c>
      <c r="G14" s="61">
        <f>SUM(G15:GASTO_E_FIN_06)</f>
        <v>0</v>
      </c>
    </row>
    <row r="15" spans="1:7" s="24" customFormat="1" x14ac:dyDescent="0.25">
      <c r="A15" s="144" t="s">
        <v>432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>D15-E15</f>
        <v>0</v>
      </c>
    </row>
    <row r="16" spans="1:7" s="24" customFormat="1" x14ac:dyDescent="0.25">
      <c r="A16" s="144" t="s">
        <v>433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f t="shared" ref="G16:G22" si="0">D16-E16</f>
        <v>0</v>
      </c>
    </row>
    <row r="17" spans="1:7" s="24" customFormat="1" x14ac:dyDescent="0.25">
      <c r="A17" s="144" t="s">
        <v>434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 t="shared" si="0"/>
        <v>0</v>
      </c>
    </row>
    <row r="18" spans="1:7" s="24" customFormat="1" x14ac:dyDescent="0.25">
      <c r="A18" s="144" t="s">
        <v>435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si="0"/>
        <v>0</v>
      </c>
    </row>
    <row r="19" spans="1:7" s="24" customFormat="1" x14ac:dyDescent="0.25">
      <c r="A19" s="144" t="s">
        <v>436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0"/>
        <v>0</v>
      </c>
    </row>
    <row r="20" spans="1:7" s="24" customFormat="1" x14ac:dyDescent="0.25">
      <c r="A20" s="144" t="s">
        <v>437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0"/>
        <v>0</v>
      </c>
    </row>
    <row r="21" spans="1:7" s="24" customFormat="1" x14ac:dyDescent="0.25">
      <c r="A21" s="144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0"/>
        <v>0</v>
      </c>
    </row>
    <row r="22" spans="1:7" s="24" customFormat="1" x14ac:dyDescent="0.25">
      <c r="A22" s="144" t="s">
        <v>439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x14ac:dyDescent="0.25">
      <c r="A23" s="76" t="s">
        <v>686</v>
      </c>
      <c r="B23" s="54"/>
      <c r="C23" s="54"/>
      <c r="D23" s="54"/>
      <c r="E23" s="54"/>
      <c r="F23" s="54"/>
      <c r="G23" s="54"/>
    </row>
    <row r="24" spans="1:7" x14ac:dyDescent="0.25">
      <c r="A24" s="55" t="s">
        <v>360</v>
      </c>
      <c r="B24" s="61">
        <f>GASTO_NE_T1+GASTO_E_T1</f>
        <v>105653018</v>
      </c>
      <c r="C24" s="61">
        <f>GASTO_NE_T2+GASTO_E_T2</f>
        <v>18370000</v>
      </c>
      <c r="D24" s="61">
        <f>GASTO_NE_T3+GASTO_E_T3</f>
        <v>124023018</v>
      </c>
      <c r="E24" s="61">
        <f>GASTO_NE_T4+GASTO_E_T4</f>
        <v>69486772.099999994</v>
      </c>
      <c r="F24" s="61">
        <f>GASTO_NE_T5+GASTO_E_T5</f>
        <v>69448731.129999995</v>
      </c>
      <c r="G24" s="61">
        <f>GASTO_NE_T6+GASTO_E_T6</f>
        <v>54536245.899999999</v>
      </c>
    </row>
    <row r="25" spans="1:7" x14ac:dyDescent="0.25">
      <c r="A25" s="58"/>
      <c r="B25" s="65"/>
      <c r="C25" s="65"/>
      <c r="D25" s="65"/>
      <c r="E25" s="65"/>
      <c r="F25" s="65"/>
      <c r="G25" s="78"/>
    </row>
    <row r="26" spans="1:7" hidden="1" x14ac:dyDescent="0.25">
      <c r="A26" s="11"/>
    </row>
    <row r="27" spans="1:7" x14ac:dyDescent="0.25"/>
    <row r="28" spans="1:7" x14ac:dyDescent="0.25"/>
    <row r="29" spans="1:7" x14ac:dyDescent="0.25"/>
    <row r="30" spans="1:7" x14ac:dyDescent="0.25"/>
    <row r="31" spans="1:7" x14ac:dyDescent="0.25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4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105653018</v>
      </c>
      <c r="Q2" s="18">
        <f>GASTO_NE_T2</f>
        <v>18370000</v>
      </c>
      <c r="R2" s="18">
        <f>GASTO_NE_T3</f>
        <v>124023018</v>
      </c>
      <c r="S2" s="18">
        <f>GASTO_NE_T4</f>
        <v>69486772.099999994</v>
      </c>
      <c r="T2" s="18">
        <f>GASTO_NE_T5</f>
        <v>69448731.129999995</v>
      </c>
      <c r="U2" s="18">
        <f>GASTO_NE_T6</f>
        <v>54536245.899999999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105653018</v>
      </c>
      <c r="Q4" s="18">
        <f>TOTAL_E_T2</f>
        <v>18370000</v>
      </c>
      <c r="R4" s="18">
        <f>TOTAL_E_T3</f>
        <v>124023018</v>
      </c>
      <c r="S4" s="18">
        <f>TOTAL_E_T4</f>
        <v>69486772.099999994</v>
      </c>
      <c r="T4" s="18">
        <f>TOTAL_E_T5</f>
        <v>69448731.129999995</v>
      </c>
      <c r="U4" s="18">
        <f>TOTAL_E_T6</f>
        <v>54536245.899999999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52" zoomScale="90" zoomScaleNormal="90" workbookViewId="0">
      <selection activeCell="F21" sqref="F2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septiembre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x14ac:dyDescent="0.25">
      <c r="A9" s="52" t="s">
        <v>363</v>
      </c>
      <c r="B9" s="70">
        <f t="shared" ref="B9:G9" si="0">SUM(B10,B19,B27,B37)</f>
        <v>105653018</v>
      </c>
      <c r="C9" s="70">
        <f t="shared" si="0"/>
        <v>18370000</v>
      </c>
      <c r="D9" s="70">
        <f t="shared" si="0"/>
        <v>124023018</v>
      </c>
      <c r="E9" s="70">
        <f t="shared" si="0"/>
        <v>69486772.400000006</v>
      </c>
      <c r="F9" s="70">
        <f t="shared" si="0"/>
        <v>69486772.400000006</v>
      </c>
      <c r="G9" s="70">
        <f t="shared" si="0"/>
        <v>54536245.599999994</v>
      </c>
    </row>
    <row r="10" spans="1:7" x14ac:dyDescent="0.2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25">
      <c r="A19" s="53" t="s">
        <v>373</v>
      </c>
      <c r="B19" s="71">
        <f t="shared" ref="B19:G19" si="3">SUM(B20:B26)</f>
        <v>105653018</v>
      </c>
      <c r="C19" s="71">
        <f t="shared" si="3"/>
        <v>18370000</v>
      </c>
      <c r="D19" s="71">
        <f t="shared" si="3"/>
        <v>124023018</v>
      </c>
      <c r="E19" s="71">
        <f t="shared" si="3"/>
        <v>69486772.400000006</v>
      </c>
      <c r="F19" s="71">
        <f t="shared" si="3"/>
        <v>69486772.400000006</v>
      </c>
      <c r="G19" s="71">
        <f t="shared" si="3"/>
        <v>54536245.599999994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105653018</v>
      </c>
      <c r="C21" s="71">
        <v>18370000</v>
      </c>
      <c r="D21" s="71">
        <v>124023018</v>
      </c>
      <c r="E21" s="71">
        <v>69486772.400000006</v>
      </c>
      <c r="F21" s="71">
        <v>69486772.400000006</v>
      </c>
      <c r="G21" s="72">
        <f t="shared" ref="G21:G26" si="4">D21-E21</f>
        <v>54536245.599999994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 t="shared" ref="B27:G27" si="5">SUM(B28:B36)</f>
        <v>0</v>
      </c>
      <c r="C27" s="71">
        <f t="shared" si="5"/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 t="shared" si="5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 t="shared" ref="B37:G37" si="7">SUM(B38:B41)</f>
        <v>0</v>
      </c>
      <c r="C37" s="71">
        <f t="shared" si="7"/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 t="shared" si="7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8">SUM(B44,B53,B61,B71)</f>
        <v>0</v>
      </c>
      <c r="C43" s="73">
        <f t="shared" si="8"/>
        <v>0</v>
      </c>
      <c r="D43" s="73">
        <f t="shared" si="8"/>
        <v>0</v>
      </c>
      <c r="E43" s="73">
        <f t="shared" si="8"/>
        <v>0</v>
      </c>
      <c r="F43" s="73">
        <f t="shared" si="8"/>
        <v>0</v>
      </c>
      <c r="G43" s="73">
        <f t="shared" si="8"/>
        <v>0</v>
      </c>
    </row>
    <row r="44" spans="1:7" x14ac:dyDescent="0.25">
      <c r="A44" s="53" t="s">
        <v>430</v>
      </c>
      <c r="B44" s="72">
        <f t="shared" ref="B44:G44" si="9">SUM(B45:B52)</f>
        <v>0</v>
      </c>
      <c r="C44" s="72">
        <f t="shared" si="9"/>
        <v>0</v>
      </c>
      <c r="D44" s="72">
        <f t="shared" si="9"/>
        <v>0</v>
      </c>
      <c r="E44" s="72">
        <f t="shared" si="9"/>
        <v>0</v>
      </c>
      <c r="F44" s="72">
        <f t="shared" si="9"/>
        <v>0</v>
      </c>
      <c r="G44" s="72">
        <f t="shared" si="9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10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10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10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10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10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10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10"/>
        <v>0</v>
      </c>
    </row>
    <row r="53" spans="1:7" x14ac:dyDescent="0.25">
      <c r="A53" s="53" t="s">
        <v>373</v>
      </c>
      <c r="B53" s="71">
        <f t="shared" ref="B53:G53" si="11">SUM(B54:B60)</f>
        <v>0</v>
      </c>
      <c r="C53" s="71">
        <f t="shared" si="11"/>
        <v>0</v>
      </c>
      <c r="D53" s="71">
        <f t="shared" si="11"/>
        <v>0</v>
      </c>
      <c r="E53" s="71">
        <f t="shared" si="11"/>
        <v>0</v>
      </c>
      <c r="F53" s="71">
        <f t="shared" si="11"/>
        <v>0</v>
      </c>
      <c r="G53" s="71">
        <f t="shared" si="11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2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2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2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2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2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2"/>
        <v>0</v>
      </c>
    </row>
    <row r="61" spans="1:7" x14ac:dyDescent="0.25">
      <c r="A61" s="53" t="s">
        <v>381</v>
      </c>
      <c r="B61" s="71">
        <f t="shared" ref="B61:G61" si="13">SUM(B62:B70)</f>
        <v>0</v>
      </c>
      <c r="C61" s="71">
        <f t="shared" si="13"/>
        <v>0</v>
      </c>
      <c r="D61" s="71">
        <f t="shared" si="13"/>
        <v>0</v>
      </c>
      <c r="E61" s="71">
        <f t="shared" si="13"/>
        <v>0</v>
      </c>
      <c r="F61" s="71">
        <f t="shared" si="13"/>
        <v>0</v>
      </c>
      <c r="G61" s="71">
        <f t="shared" si="13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4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4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4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4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4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4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4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4"/>
        <v>0</v>
      </c>
    </row>
    <row r="71" spans="1:8" x14ac:dyDescent="0.25">
      <c r="A71" s="64" t="s">
        <v>3299</v>
      </c>
      <c r="B71" s="74">
        <f t="shared" ref="B71:G71" si="15">SUM(B72:B75)</f>
        <v>0</v>
      </c>
      <c r="C71" s="74">
        <f t="shared" si="15"/>
        <v>0</v>
      </c>
      <c r="D71" s="74">
        <f t="shared" si="15"/>
        <v>0</v>
      </c>
      <c r="E71" s="74">
        <f t="shared" si="15"/>
        <v>0</v>
      </c>
      <c r="F71" s="74">
        <f t="shared" si="15"/>
        <v>0</v>
      </c>
      <c r="G71" s="74">
        <f t="shared" si="15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6">B43+B9</f>
        <v>105653018</v>
      </c>
      <c r="C77" s="73">
        <f t="shared" si="16"/>
        <v>18370000</v>
      </c>
      <c r="D77" s="73">
        <f t="shared" si="16"/>
        <v>124023018</v>
      </c>
      <c r="E77" s="73">
        <f t="shared" si="16"/>
        <v>69486772.400000006</v>
      </c>
      <c r="F77" s="73">
        <f t="shared" si="16"/>
        <v>69486772.400000006</v>
      </c>
      <c r="G77" s="73">
        <f t="shared" si="16"/>
        <v>54536245.599999994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105653018</v>
      </c>
      <c r="Q2" s="18">
        <f>'Formato 6 c)'!C9</f>
        <v>18370000</v>
      </c>
      <c r="R2" s="18">
        <f>'Formato 6 c)'!D9</f>
        <v>124023018</v>
      </c>
      <c r="S2" s="18">
        <f>'Formato 6 c)'!E9</f>
        <v>69486772.400000006</v>
      </c>
      <c r="T2" s="18">
        <f>'Formato 6 c)'!F9</f>
        <v>69486772.400000006</v>
      </c>
      <c r="U2" s="18">
        <f>'Formato 6 c)'!G9</f>
        <v>54536245.599999994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105653018</v>
      </c>
      <c r="Q12" s="18">
        <f>'Formato 6 c)'!C19</f>
        <v>18370000</v>
      </c>
      <c r="R12" s="18">
        <f>'Formato 6 c)'!D19</f>
        <v>124023018</v>
      </c>
      <c r="S12" s="18">
        <f>'Formato 6 c)'!E19</f>
        <v>69486772.400000006</v>
      </c>
      <c r="T12" s="18">
        <f>'Formato 6 c)'!F19</f>
        <v>69486772.400000006</v>
      </c>
      <c r="U12" s="18">
        <f>'Formato 6 c)'!G19</f>
        <v>54536245.599999994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105653018</v>
      </c>
      <c r="Q14" s="18">
        <f>'Formato 6 c)'!C21</f>
        <v>18370000</v>
      </c>
      <c r="R14" s="18">
        <f>'Formato 6 c)'!D21</f>
        <v>124023018</v>
      </c>
      <c r="S14" s="18">
        <f>'Formato 6 c)'!E21</f>
        <v>69486772.400000006</v>
      </c>
      <c r="T14" s="18">
        <f>'Formato 6 c)'!F21</f>
        <v>69486772.400000006</v>
      </c>
      <c r="U14" s="18">
        <f>'Formato 6 c)'!G21</f>
        <v>54536245.599999994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105653018</v>
      </c>
      <c r="Q68" s="18">
        <f>'Formato 6 c)'!C77</f>
        <v>18370000</v>
      </c>
      <c r="R68" s="18">
        <f>'Formato 6 c)'!D77</f>
        <v>124023018</v>
      </c>
      <c r="S68" s="18">
        <f>'Formato 6 c)'!E77</f>
        <v>69486772.400000006</v>
      </c>
      <c r="T68" s="18">
        <f>'Formato 6 c)'!F77</f>
        <v>69486772.400000006</v>
      </c>
      <c r="U68" s="18">
        <f>'Formato 6 c)'!G77</f>
        <v>54536245.599999994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B8" zoomScale="90" zoomScaleNormal="90" workbookViewId="0">
      <selection activeCell="G33" sqref="G3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x14ac:dyDescent="0.25">
      <c r="A5" s="157" t="str">
        <f>TRIMESTRE</f>
        <v>Del 1 de enero al 30 de septiembre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x14ac:dyDescent="0.25">
      <c r="A9" s="52" t="s">
        <v>400</v>
      </c>
      <c r="B9" s="66">
        <f t="shared" ref="B9:G9" si="0">SUM(B10,B11,B12,B15,B16,B19)</f>
        <v>1750000</v>
      </c>
      <c r="C9" s="66">
        <f t="shared" si="0"/>
        <v>0</v>
      </c>
      <c r="D9" s="66">
        <f t="shared" si="0"/>
        <v>1750000</v>
      </c>
      <c r="E9" s="66">
        <f t="shared" si="0"/>
        <v>111961.05</v>
      </c>
      <c r="F9" s="66">
        <f t="shared" si="0"/>
        <v>111961.05</v>
      </c>
      <c r="G9" s="66">
        <f t="shared" si="0"/>
        <v>1638038.95</v>
      </c>
    </row>
    <row r="10" spans="1:7" x14ac:dyDescent="0.25">
      <c r="A10" s="53" t="s">
        <v>401</v>
      </c>
      <c r="B10" s="67">
        <v>1750000</v>
      </c>
      <c r="C10" s="67">
        <v>0</v>
      </c>
      <c r="D10" s="67">
        <v>1750000</v>
      </c>
      <c r="E10" s="67">
        <v>111961.05</v>
      </c>
      <c r="F10" s="67">
        <v>111961.05</v>
      </c>
      <c r="G10" s="67">
        <f>D10-E10</f>
        <v>1638038.95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1750000</v>
      </c>
      <c r="C33" s="66">
        <f t="shared" si="6"/>
        <v>0</v>
      </c>
      <c r="D33" s="66">
        <f t="shared" si="6"/>
        <v>1750000</v>
      </c>
      <c r="E33" s="66">
        <f t="shared" si="6"/>
        <v>111961.05</v>
      </c>
      <c r="F33" s="66">
        <f t="shared" si="6"/>
        <v>111961.05</v>
      </c>
      <c r="G33" s="66">
        <f t="shared" si="6"/>
        <v>1638038.95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1750000</v>
      </c>
      <c r="Q2" s="18">
        <f>'Formato 6 d)'!C9</f>
        <v>0</v>
      </c>
      <c r="R2" s="18">
        <f>'Formato 6 d)'!D9</f>
        <v>1750000</v>
      </c>
      <c r="S2" s="18">
        <f>'Formato 6 d)'!E9</f>
        <v>111961.05</v>
      </c>
      <c r="T2" s="18">
        <f>'Formato 6 d)'!F9</f>
        <v>111961.05</v>
      </c>
      <c r="U2" s="18">
        <f>'Formato 6 d)'!G9</f>
        <v>1638038.95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1750000</v>
      </c>
      <c r="Q3" s="18">
        <f>'Formato 6 d)'!C10</f>
        <v>0</v>
      </c>
      <c r="R3" s="18">
        <f>'Formato 6 d)'!D10</f>
        <v>1750000</v>
      </c>
      <c r="S3" s="18">
        <f>'Formato 6 d)'!E10</f>
        <v>111961.05</v>
      </c>
      <c r="T3" s="18">
        <f>'Formato 6 d)'!F10</f>
        <v>111961.05</v>
      </c>
      <c r="U3" s="18">
        <f>'Formato 6 d)'!G10</f>
        <v>1638038.95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1750000</v>
      </c>
      <c r="Q24" s="18">
        <f>'Formato 6 d)'!C33</f>
        <v>0</v>
      </c>
      <c r="R24" s="18">
        <f>'Formato 6 d)'!D33</f>
        <v>1750000</v>
      </c>
      <c r="S24" s="18">
        <f>'Formato 6 d)'!E33</f>
        <v>111961.05</v>
      </c>
      <c r="T24" s="18">
        <f>'Formato 6 d)'!F33</f>
        <v>111961.05</v>
      </c>
      <c r="U24" s="18">
        <f>'Formato 6 d)'!G33</f>
        <v>1638038.95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5" zoomScale="85" zoomScaleNormal="85" zoomScalePageLayoutView="90" workbookViewId="0">
      <selection activeCell="B15" sqref="B15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69" t="s">
        <v>413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414</v>
      </c>
      <c r="B3" s="155"/>
      <c r="C3" s="155"/>
      <c r="D3" s="155"/>
      <c r="E3" s="155"/>
      <c r="F3" s="155"/>
      <c r="G3" s="156"/>
    </row>
    <row r="4" spans="1:7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28658452.695999987</v>
      </c>
      <c r="D8" s="59">
        <f t="shared" si="0"/>
        <v>30547529.90199998</v>
      </c>
      <c r="E8" s="59">
        <f t="shared" si="0"/>
        <v>32436607.10799998</v>
      </c>
      <c r="F8" s="59">
        <f t="shared" si="0"/>
        <v>34325684.313999973</v>
      </c>
      <c r="G8" s="59">
        <f t="shared" si="0"/>
        <v>35698711.68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28658452.695999987</v>
      </c>
      <c r="D15" s="60">
        <v>30547529.90199998</v>
      </c>
      <c r="E15" s="60">
        <v>32436607.10799998</v>
      </c>
      <c r="F15" s="60">
        <v>34325684.313999973</v>
      </c>
      <c r="G15" s="60">
        <v>35698711.68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28658452.695999987</v>
      </c>
      <c r="D32" s="61">
        <f t="shared" si="3"/>
        <v>30547529.90199998</v>
      </c>
      <c r="E32" s="61">
        <f t="shared" si="3"/>
        <v>32436607.10799998</v>
      </c>
      <c r="F32" s="61">
        <f t="shared" si="3"/>
        <v>34325684.313999973</v>
      </c>
      <c r="G32" s="61">
        <f t="shared" si="3"/>
        <v>35698711.68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28658452.695999987</v>
      </c>
      <c r="R2" s="18">
        <f>'Formato 7 a)'!D8</f>
        <v>30547529.90199998</v>
      </c>
      <c r="S2" s="18">
        <f>'Formato 7 a)'!E8</f>
        <v>32436607.10799998</v>
      </c>
      <c r="T2" s="18">
        <f>'Formato 7 a)'!F8</f>
        <v>34325684.313999973</v>
      </c>
      <c r="U2" s="18">
        <f>'Formato 7 a)'!G8</f>
        <v>35698711.68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28658452.695999987</v>
      </c>
      <c r="R9" s="18">
        <f>'Formato 7 a)'!D15</f>
        <v>30547529.90199998</v>
      </c>
      <c r="S9" s="18">
        <f>'Formato 7 a)'!E15</f>
        <v>32436607.10799998</v>
      </c>
      <c r="T9" s="18">
        <f>'Formato 7 a)'!F15</f>
        <v>34325684.313999973</v>
      </c>
      <c r="U9" s="18">
        <f>'Formato 7 a)'!G15</f>
        <v>35698711.68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28658452.695999987</v>
      </c>
      <c r="R23" s="18">
        <f>'Formato 7 a)'!D32</f>
        <v>30547529.90199998</v>
      </c>
      <c r="S23" s="18">
        <f>'Formato 7 a)'!E32</f>
        <v>32436607.10799998</v>
      </c>
      <c r="T23" s="18">
        <f>'Formato 7 a)'!F32</f>
        <v>34325684.313999973</v>
      </c>
      <c r="U23" s="18">
        <f>'Formato 7 a)'!G32</f>
        <v>35698711.68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14" sqref="B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69" t="s">
        <v>451</v>
      </c>
      <c r="B1" s="169"/>
      <c r="C1" s="169"/>
      <c r="D1" s="169"/>
      <c r="E1" s="169"/>
      <c r="F1" s="169"/>
      <c r="G1" s="169"/>
    </row>
    <row r="2" spans="1:7" customFormat="1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x14ac:dyDescent="0.25">
      <c r="A3" s="154" t="s">
        <v>452</v>
      </c>
      <c r="B3" s="155"/>
      <c r="C3" s="155"/>
      <c r="D3" s="155"/>
      <c r="E3" s="155"/>
      <c r="F3" s="155"/>
      <c r="G3" s="156"/>
    </row>
    <row r="4" spans="1:7" customFormat="1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customFormat="1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26769375.490000002</v>
      </c>
      <c r="C8" s="59">
        <f t="shared" si="0"/>
        <v>28658452.699999999</v>
      </c>
      <c r="D8" s="59">
        <f t="shared" si="0"/>
        <v>30547531.899999999</v>
      </c>
      <c r="E8" s="59">
        <f t="shared" si="0"/>
        <v>32436607.109999999</v>
      </c>
      <c r="F8" s="59">
        <f t="shared" si="0"/>
        <v>34325684.310000002</v>
      </c>
      <c r="G8" s="59">
        <f t="shared" si="0"/>
        <v>35698711.682400003</v>
      </c>
    </row>
    <row r="9" spans="1:7" x14ac:dyDescent="0.25">
      <c r="A9" s="53" t="s">
        <v>454</v>
      </c>
      <c r="B9" s="60">
        <v>159874.04999999999</v>
      </c>
      <c r="C9" s="60">
        <v>167253.51999999999</v>
      </c>
      <c r="D9" s="60">
        <v>174632.98</v>
      </c>
      <c r="E9" s="60">
        <v>182012.45</v>
      </c>
      <c r="F9" s="60">
        <v>189391.92</v>
      </c>
      <c r="G9" s="60">
        <v>196967.59680000003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2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13311686.800000001</v>
      </c>
      <c r="C11" s="60">
        <v>13926127.66</v>
      </c>
      <c r="D11" s="60">
        <v>14540568.52</v>
      </c>
      <c r="E11" s="60">
        <v>15155009.380000001</v>
      </c>
      <c r="F11" s="60">
        <v>15769450.23</v>
      </c>
      <c r="G11" s="60">
        <v>16400228.239200002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13297814.640000001</v>
      </c>
      <c r="C14" s="60">
        <v>14565071.52</v>
      </c>
      <c r="D14" s="60">
        <v>15832328.4</v>
      </c>
      <c r="E14" s="60">
        <v>17099585.280000001</v>
      </c>
      <c r="F14" s="60">
        <v>18366842.16</v>
      </c>
      <c r="G14" s="60">
        <v>19101515.8464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26769375.490000002</v>
      </c>
      <c r="C30" s="61">
        <f t="shared" si="2"/>
        <v>28658452.699999999</v>
      </c>
      <c r="D30" s="61">
        <f t="shared" si="2"/>
        <v>30547531.899999999</v>
      </c>
      <c r="E30" s="61">
        <f t="shared" si="2"/>
        <v>32436607.109999999</v>
      </c>
      <c r="F30" s="61">
        <f t="shared" si="2"/>
        <v>34325684.310000002</v>
      </c>
      <c r="G30" s="61">
        <f t="shared" si="2"/>
        <v>35698711.682400003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26769375.490000002</v>
      </c>
      <c r="Q2" s="18">
        <f>'Formato 7 b)'!C8</f>
        <v>28658452.699999999</v>
      </c>
      <c r="R2" s="18">
        <f>'Formato 7 b)'!D8</f>
        <v>30547531.899999999</v>
      </c>
      <c r="S2" s="18">
        <f>'Formato 7 b)'!E8</f>
        <v>32436607.109999999</v>
      </c>
      <c r="T2" s="18">
        <f>'Formato 7 b)'!F8</f>
        <v>34325684.310000002</v>
      </c>
      <c r="U2" s="18">
        <f>'Formato 7 b)'!G8</f>
        <v>35698711.682400003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159874.04999999999</v>
      </c>
      <c r="Q3" s="18">
        <f>'Formato 7 b)'!C9</f>
        <v>167253.51999999999</v>
      </c>
      <c r="R3" s="18">
        <f>'Formato 7 b)'!D9</f>
        <v>174632.98</v>
      </c>
      <c r="S3" s="18">
        <f>'Formato 7 b)'!E9</f>
        <v>182012.45</v>
      </c>
      <c r="T3" s="18">
        <f>'Formato 7 b)'!F9</f>
        <v>189391.92</v>
      </c>
      <c r="U3" s="18">
        <f>'Formato 7 b)'!G9</f>
        <v>196967.59680000003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2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13311686.800000001</v>
      </c>
      <c r="Q5" s="18">
        <f>'Formato 7 b)'!C11</f>
        <v>13926127.66</v>
      </c>
      <c r="R5" s="18">
        <f>'Formato 7 b)'!D11</f>
        <v>14540568.52</v>
      </c>
      <c r="S5" s="18">
        <f>'Formato 7 b)'!E11</f>
        <v>15155009.380000001</v>
      </c>
      <c r="T5" s="18">
        <f>'Formato 7 b)'!F11</f>
        <v>15769450.23</v>
      </c>
      <c r="U5" s="18">
        <f>'Formato 7 b)'!G11</f>
        <v>16400228.239200002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13297814.640000001</v>
      </c>
      <c r="Q8" s="18">
        <f>'Formato 7 b)'!C14</f>
        <v>14565071.52</v>
      </c>
      <c r="R8" s="18">
        <f>'Formato 7 b)'!D14</f>
        <v>15832328.4</v>
      </c>
      <c r="S8" s="18">
        <f>'Formato 7 b)'!E14</f>
        <v>17099585.280000001</v>
      </c>
      <c r="T8" s="18">
        <f>'Formato 7 b)'!F14</f>
        <v>18366842.16</v>
      </c>
      <c r="U8" s="18">
        <f>'Formato 7 b)'!G14</f>
        <v>19101515.8464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26769375.490000002</v>
      </c>
      <c r="Q22" s="18">
        <f>'Formato 7 b)'!C30</f>
        <v>28658452.699999999</v>
      </c>
      <c r="R22" s="18">
        <f>'Formato 7 b)'!D30</f>
        <v>30547531.899999999</v>
      </c>
      <c r="S22" s="18">
        <f>'Formato 7 b)'!E30</f>
        <v>32436607.109999999</v>
      </c>
      <c r="T22" s="18">
        <f>'Formato 7 b)'!F30</f>
        <v>34325684.310000002</v>
      </c>
      <c r="U22" s="18">
        <f>'Formato 7 b)'!G30</f>
        <v>35698711.682400003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11" zoomScale="80" zoomScaleNormal="80" workbookViewId="0">
      <selection activeCell="G9" sqref="G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466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467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5" t="s">
        <v>3288</v>
      </c>
      <c r="B5" s="183" t="str">
        <f>ANIO5R</f>
        <v>2014 ¹ (c)</v>
      </c>
      <c r="C5" s="183" t="str">
        <f>ANIO4R</f>
        <v>2015 ¹ (c)</v>
      </c>
      <c r="D5" s="183" t="str">
        <f>ANIO3R</f>
        <v>2016 ¹ (c)</v>
      </c>
      <c r="E5" s="183" t="str">
        <f>ANIO2R</f>
        <v>2017 ¹ (c)</v>
      </c>
      <c r="F5" s="183" t="str">
        <f>ANIO1R</f>
        <v>2018 ¹ (c)</v>
      </c>
      <c r="G5" s="51">
        <f>ANIO_INFORME</f>
        <v>2019</v>
      </c>
    </row>
    <row r="6" spans="1:7" ht="32.1" customHeight="1" x14ac:dyDescent="0.25">
      <c r="A6" s="186"/>
      <c r="B6" s="184"/>
      <c r="C6" s="184"/>
      <c r="D6" s="184"/>
      <c r="E6" s="184"/>
      <c r="F6" s="184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66363655.439999998</v>
      </c>
      <c r="D7" s="59">
        <f t="shared" si="0"/>
        <v>77664226.510000005</v>
      </c>
      <c r="E7" s="59">
        <f t="shared" si="0"/>
        <v>130684638.52</v>
      </c>
      <c r="F7" s="59">
        <f t="shared" si="0"/>
        <v>91865035.979999989</v>
      </c>
      <c r="G7" s="59">
        <f t="shared" si="0"/>
        <v>50705887.969999999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765590.64</v>
      </c>
    </row>
    <row r="14" spans="1:7" x14ac:dyDescent="0.25">
      <c r="A14" s="53" t="s">
        <v>475</v>
      </c>
      <c r="B14" s="60">
        <v>0</v>
      </c>
      <c r="C14" s="60">
        <v>21320203.879999999</v>
      </c>
      <c r="D14" s="60">
        <v>19933482.620000001</v>
      </c>
      <c r="E14" s="60">
        <v>24453039.629999999</v>
      </c>
      <c r="F14" s="60">
        <v>26149415.789999999</v>
      </c>
      <c r="G14" s="60">
        <v>21307126.390000001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45043451.560000002</v>
      </c>
      <c r="D18" s="60">
        <v>57730743.890000001</v>
      </c>
      <c r="E18" s="60">
        <v>106231598.89</v>
      </c>
      <c r="F18" s="60">
        <v>65715620.189999998</v>
      </c>
      <c r="G18" s="60">
        <v>28633170.940000001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66363655.439999998</v>
      </c>
      <c r="D31" s="61">
        <f t="shared" si="3"/>
        <v>77664226.510000005</v>
      </c>
      <c r="E31" s="61">
        <f t="shared" si="3"/>
        <v>130684638.52</v>
      </c>
      <c r="F31" s="61">
        <f t="shared" si="3"/>
        <v>91865035.979999989</v>
      </c>
      <c r="G31" s="61">
        <f t="shared" si="3"/>
        <v>50705887.969999999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7" t="s">
        <v>3292</v>
      </c>
      <c r="B39" s="187"/>
      <c r="C39" s="187"/>
      <c r="D39" s="187"/>
      <c r="E39" s="187"/>
      <c r="F39" s="187"/>
      <c r="G39" s="187"/>
    </row>
    <row r="40" spans="1:7" ht="15" customHeight="1" x14ac:dyDescent="0.25">
      <c r="A40" s="187" t="s">
        <v>3293</v>
      </c>
      <c r="B40" s="187"/>
      <c r="C40" s="187"/>
      <c r="D40" s="187"/>
      <c r="E40" s="187"/>
      <c r="F40" s="187"/>
      <c r="G40" s="187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F5:F6"/>
    <mergeCell ref="E5:E6"/>
    <mergeCell ref="D5:D6"/>
    <mergeCell ref="C5:C6"/>
    <mergeCell ref="B5:B6"/>
    <mergeCell ref="A5:A6"/>
    <mergeCell ref="A40:G40"/>
    <mergeCell ref="A1:G1"/>
    <mergeCell ref="A2:G2"/>
    <mergeCell ref="A3:G3"/>
    <mergeCell ref="A4:G4"/>
    <mergeCell ref="A39:G39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66363655.439999998</v>
      </c>
      <c r="R2" s="18">
        <f>'Formato 7 c)'!D7</f>
        <v>77664226.510000005</v>
      </c>
      <c r="S2" s="18">
        <f>'Formato 7 c)'!E7</f>
        <v>130684638.52</v>
      </c>
      <c r="T2" s="18">
        <f>'Formato 7 c)'!F7</f>
        <v>91865035.979999989</v>
      </c>
      <c r="U2" s="18">
        <f>'Formato 7 c)'!G7</f>
        <v>50705887.969999999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765590.64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21320203.879999999</v>
      </c>
      <c r="R9" s="18">
        <f>'Formato 7 c)'!D14</f>
        <v>19933482.620000001</v>
      </c>
      <c r="S9" s="18">
        <f>'Formato 7 c)'!E14</f>
        <v>24453039.629999999</v>
      </c>
      <c r="T9" s="18">
        <f>'Formato 7 c)'!F14</f>
        <v>26149415.789999999</v>
      </c>
      <c r="U9" s="18">
        <f>'Formato 7 c)'!G14</f>
        <v>21307126.390000001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45043451.560000002</v>
      </c>
      <c r="R13" s="18">
        <f>'Formato 7 c)'!D18</f>
        <v>57730743.890000001</v>
      </c>
      <c r="S13" s="18">
        <f>'Formato 7 c)'!E18</f>
        <v>106231598.89</v>
      </c>
      <c r="T13" s="18">
        <f>'Formato 7 c)'!F18</f>
        <v>65715620.189999998</v>
      </c>
      <c r="U13" s="18">
        <f>'Formato 7 c)'!G18</f>
        <v>28633170.940000001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66363655.439999998</v>
      </c>
      <c r="R23" s="18">
        <f>'Formato 7 c)'!D31</f>
        <v>77664226.510000005</v>
      </c>
      <c r="S23" s="18">
        <f>'Formato 7 c)'!E31</f>
        <v>130684638.52</v>
      </c>
      <c r="T23" s="18">
        <f>'Formato 7 c)'!F31</f>
        <v>91865035.979999989</v>
      </c>
      <c r="U23" s="18">
        <f>'Formato 7 c)'!G31</f>
        <v>50705887.969999999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7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490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491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3" t="str">
        <f>ANIO5R</f>
        <v>2014 ¹ (c)</v>
      </c>
      <c r="C5" s="183" t="str">
        <f>ANIO4R</f>
        <v>2015 ¹ (c)</v>
      </c>
      <c r="D5" s="183" t="str">
        <f>ANIO3R</f>
        <v>2016 ¹ (c)</v>
      </c>
      <c r="E5" s="183" t="str">
        <f>ANIO2R</f>
        <v>2017 ¹ (c)</v>
      </c>
      <c r="F5" s="183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4"/>
      <c r="C6" s="184"/>
      <c r="D6" s="184"/>
      <c r="E6" s="184"/>
      <c r="F6" s="184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40645365.980000004</v>
      </c>
      <c r="D7" s="59">
        <f t="shared" si="0"/>
        <v>46338961.770000003</v>
      </c>
      <c r="E7" s="59">
        <f t="shared" si="0"/>
        <v>87657478</v>
      </c>
      <c r="F7" s="59">
        <f t="shared" si="0"/>
        <v>50645529</v>
      </c>
      <c r="G7" s="59">
        <f t="shared" si="0"/>
        <v>69486772.099999994</v>
      </c>
    </row>
    <row r="8" spans="1:7" x14ac:dyDescent="0.25">
      <c r="A8" s="53" t="s">
        <v>454</v>
      </c>
      <c r="B8" s="60">
        <v>0</v>
      </c>
      <c r="C8" s="60">
        <v>107311.66</v>
      </c>
      <c r="D8" s="60">
        <v>128436.67</v>
      </c>
      <c r="E8" s="60">
        <v>132906</v>
      </c>
      <c r="F8" s="60">
        <v>129865.92</v>
      </c>
      <c r="G8" s="60">
        <v>111961.05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9742623.1500000004</v>
      </c>
      <c r="D10" s="60">
        <v>11688776.5</v>
      </c>
      <c r="E10" s="60">
        <v>11066230</v>
      </c>
      <c r="F10" s="60">
        <v>14624915.82</v>
      </c>
      <c r="G10" s="60">
        <v>16995572.379999999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30795431.170000002</v>
      </c>
      <c r="D13" s="60">
        <v>34521748.600000001</v>
      </c>
      <c r="E13" s="60">
        <v>76458342</v>
      </c>
      <c r="F13" s="60">
        <v>35890747.259999998</v>
      </c>
      <c r="G13" s="60">
        <v>52379238.670000002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40645365.980000004</v>
      </c>
      <c r="D29" s="60">
        <f t="shared" si="2"/>
        <v>46338961.770000003</v>
      </c>
      <c r="E29" s="60">
        <f t="shared" si="2"/>
        <v>87657478</v>
      </c>
      <c r="F29" s="60">
        <f t="shared" si="2"/>
        <v>50645529</v>
      </c>
      <c r="G29" s="60">
        <f t="shared" si="2"/>
        <v>69486772.099999994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7" t="s">
        <v>3292</v>
      </c>
      <c r="B32" s="187"/>
      <c r="C32" s="187"/>
      <c r="D32" s="187"/>
      <c r="E32" s="187"/>
      <c r="F32" s="187"/>
      <c r="G32" s="187"/>
    </row>
    <row r="33" spans="1:7" x14ac:dyDescent="0.25">
      <c r="A33" s="187" t="s">
        <v>3293</v>
      </c>
      <c r="B33" s="187"/>
      <c r="C33" s="187"/>
      <c r="D33" s="187"/>
      <c r="E33" s="187"/>
      <c r="F33" s="187"/>
      <c r="G33" s="187"/>
    </row>
  </sheetData>
  <sheetProtection password="93CF" sheet="1" objects="1" scenarios="1"/>
  <mergeCells count="12">
    <mergeCell ref="A5:A6"/>
    <mergeCell ref="B5:B6"/>
    <mergeCell ref="C5:C6"/>
    <mergeCell ref="D5:D6"/>
    <mergeCell ref="E5:E6"/>
    <mergeCell ref="F5:F6"/>
    <mergeCell ref="A33:G33"/>
    <mergeCell ref="A1:G1"/>
    <mergeCell ref="A2:G2"/>
    <mergeCell ref="A3:G3"/>
    <mergeCell ref="A4:G4"/>
    <mergeCell ref="A32:G32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40645365.980000004</v>
      </c>
      <c r="R2" s="18">
        <f>'Formato 7 d)'!D7</f>
        <v>46338961.770000003</v>
      </c>
      <c r="S2" s="18">
        <f>'Formato 7 d)'!E7</f>
        <v>87657478</v>
      </c>
      <c r="T2" s="18">
        <f>'Formato 7 d)'!F7</f>
        <v>50645529</v>
      </c>
      <c r="U2" s="18">
        <f>'Formato 7 d)'!G7</f>
        <v>69486772.099999994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107311.66</v>
      </c>
      <c r="R3" s="18">
        <f>'Formato 7 d)'!D8</f>
        <v>128436.67</v>
      </c>
      <c r="S3" s="18">
        <f>'Formato 7 d)'!E8</f>
        <v>132906</v>
      </c>
      <c r="T3" s="18">
        <f>'Formato 7 d)'!F8</f>
        <v>129865.92</v>
      </c>
      <c r="U3" s="18">
        <f>'Formato 7 d)'!G8</f>
        <v>111961.05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9742623.1500000004</v>
      </c>
      <c r="R5" s="18">
        <f>'Formato 7 d)'!D10</f>
        <v>11688776.5</v>
      </c>
      <c r="S5" s="18">
        <f>'Formato 7 d)'!E10</f>
        <v>11066230</v>
      </c>
      <c r="T5" s="18">
        <f>'Formato 7 d)'!F10</f>
        <v>14624915.82</v>
      </c>
      <c r="U5" s="18">
        <f>'Formato 7 d)'!G10</f>
        <v>16995572.379999999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30795431.170000002</v>
      </c>
      <c r="R8" s="18">
        <f>'Formato 7 d)'!D13</f>
        <v>34521748.600000001</v>
      </c>
      <c r="S8" s="18">
        <f>'Formato 7 d)'!E13</f>
        <v>76458342</v>
      </c>
      <c r="T8" s="18">
        <f>'Formato 7 d)'!F13</f>
        <v>35890747.259999998</v>
      </c>
      <c r="U8" s="18">
        <f>'Formato 7 d)'!G13</f>
        <v>52379238.670000002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40645365.980000004</v>
      </c>
      <c r="R22" s="18">
        <f>'Formato 7 d)'!D29</f>
        <v>46338961.770000003</v>
      </c>
      <c r="S22" s="18">
        <f>'Formato 7 d)'!E29</f>
        <v>87657478</v>
      </c>
      <c r="T22" s="18">
        <f>'Formato 7 d)'!F29</f>
        <v>50645529</v>
      </c>
      <c r="U22" s="18">
        <f>'Formato 7 d)'!G29</f>
        <v>69486772.099999994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zoomScale="90" zoomScaleNormal="90" workbookViewId="0">
      <selection activeCell="C53" sqref="C53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x14ac:dyDescent="0.2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x14ac:dyDescent="0.25">
      <c r="A3" s="160" t="s">
        <v>496</v>
      </c>
      <c r="B3" s="161"/>
      <c r="C3" s="161"/>
      <c r="D3" s="161"/>
      <c r="E3" s="161"/>
      <c r="F3" s="16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x14ac:dyDescent="0.2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x14ac:dyDescent="0.2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x14ac:dyDescent="0.2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x14ac:dyDescent="0.2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x14ac:dyDescent="0.2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x14ac:dyDescent="0.2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2019-10-09T20:00:27Z</cp:lastPrinted>
  <dcterms:created xsi:type="dcterms:W3CDTF">2017-01-19T17:59:06Z</dcterms:created>
  <dcterms:modified xsi:type="dcterms:W3CDTF">2019-10-18T15:53:44Z</dcterms:modified>
</cp:coreProperties>
</file>