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730" windowHeight="11250" tabRatio="954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G10" i="9" l="1"/>
  <c r="G15" i="6"/>
  <c r="E10" i="6"/>
  <c r="F10" i="6"/>
  <c r="G15" i="5" l="1"/>
  <c r="C33" i="4"/>
  <c r="F20" i="2" l="1"/>
  <c r="E9" i="1"/>
  <c r="D19" i="8" l="1"/>
  <c r="G12" i="7"/>
  <c r="G30" i="6"/>
  <c r="G60" i="6"/>
  <c r="F28" i="6" l="1"/>
  <c r="E28" i="6"/>
  <c r="D28" i="6"/>
  <c r="C28" i="6"/>
  <c r="D58" i="6" l="1"/>
  <c r="D35" i="5" l="1"/>
  <c r="C48" i="4" l="1"/>
  <c r="C17" i="4"/>
  <c r="B60" i="1" l="1"/>
  <c r="B62" i="1" s="1"/>
  <c r="B16" i="9" l="1"/>
  <c r="G21" i="8"/>
  <c r="G20" i="8"/>
  <c r="F16" i="5" l="1"/>
  <c r="B16" i="5" l="1"/>
  <c r="E57" i="1" l="1"/>
  <c r="E27" i="1"/>
  <c r="B9" i="1"/>
  <c r="C137" i="6" l="1"/>
  <c r="Q129" i="24" s="1"/>
  <c r="D137" i="6"/>
  <c r="R129" i="24" s="1"/>
  <c r="E137" i="6"/>
  <c r="F137" i="6"/>
  <c r="B137" i="6"/>
  <c r="C62" i="6"/>
  <c r="Q55" i="24" s="1"/>
  <c r="D62" i="6"/>
  <c r="R55" i="24" s="1"/>
  <c r="E62" i="6"/>
  <c r="F62" i="6"/>
  <c r="B62" i="6"/>
  <c r="P55" i="24" s="1"/>
  <c r="B8" i="10"/>
  <c r="P2" i="28" s="1"/>
  <c r="C6" i="23"/>
  <c r="C7" i="23" s="1"/>
  <c r="H25" i="23"/>
  <c r="F5" i="12" s="1"/>
  <c r="G25" i="23"/>
  <c r="E5" i="13" s="1"/>
  <c r="F25" i="23"/>
  <c r="E25" i="23"/>
  <c r="D25" i="23"/>
  <c r="G30" i="9"/>
  <c r="G31" i="9"/>
  <c r="U23" i="27" s="1"/>
  <c r="G29" i="9"/>
  <c r="G26" i="9"/>
  <c r="G27" i="9"/>
  <c r="G25" i="9"/>
  <c r="U17" i="27" s="1"/>
  <c r="G23" i="9"/>
  <c r="G22" i="9"/>
  <c r="G19" i="9"/>
  <c r="G18" i="9"/>
  <c r="U11" i="27" s="1"/>
  <c r="G17" i="9"/>
  <c r="G14" i="9"/>
  <c r="G15" i="9"/>
  <c r="U8" i="27" s="1"/>
  <c r="G13" i="9"/>
  <c r="G12" i="9" s="1"/>
  <c r="G11" i="9"/>
  <c r="U4" i="27" s="1"/>
  <c r="G73" i="8"/>
  <c r="G74" i="8"/>
  <c r="G75" i="8"/>
  <c r="G72" i="8"/>
  <c r="G63" i="8"/>
  <c r="G64" i="8"/>
  <c r="G65" i="8"/>
  <c r="G66" i="8"/>
  <c r="G67" i="8"/>
  <c r="G68" i="8"/>
  <c r="G69" i="8"/>
  <c r="G70" i="8"/>
  <c r="G62" i="8"/>
  <c r="G55" i="8"/>
  <c r="G56" i="8"/>
  <c r="G57" i="8"/>
  <c r="U49" i="26" s="1"/>
  <c r="G58" i="8"/>
  <c r="U50" i="26" s="1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0" i="8" s="1"/>
  <c r="U3" i="26" s="1"/>
  <c r="G13" i="8"/>
  <c r="G14" i="8"/>
  <c r="U7" i="26" s="1"/>
  <c r="G15" i="8"/>
  <c r="U8" i="26" s="1"/>
  <c r="G16" i="8"/>
  <c r="G17" i="8"/>
  <c r="G18" i="8"/>
  <c r="U11" i="26" s="1"/>
  <c r="U13" i="26"/>
  <c r="G22" i="8"/>
  <c r="G23" i="8"/>
  <c r="G24" i="8"/>
  <c r="G25" i="8"/>
  <c r="G26" i="8"/>
  <c r="G28" i="8"/>
  <c r="G29" i="8"/>
  <c r="U22" i="26" s="1"/>
  <c r="G30" i="8"/>
  <c r="G31" i="8"/>
  <c r="G32" i="8"/>
  <c r="G33" i="8"/>
  <c r="G34" i="8"/>
  <c r="G35" i="8"/>
  <c r="G36" i="8"/>
  <c r="U29" i="26" s="1"/>
  <c r="G21" i="7"/>
  <c r="G22" i="7"/>
  <c r="G23" i="7"/>
  <c r="G24" i="7"/>
  <c r="G25" i="7"/>
  <c r="G26" i="7"/>
  <c r="G27" i="7"/>
  <c r="G20" i="7"/>
  <c r="G19" i="7" s="1"/>
  <c r="U3" i="25" s="1"/>
  <c r="G11" i="7"/>
  <c r="G13" i="7"/>
  <c r="G14" i="7"/>
  <c r="G15" i="7"/>
  <c r="G16" i="7"/>
  <c r="G17" i="7"/>
  <c r="G10" i="7"/>
  <c r="B10" i="6"/>
  <c r="B18" i="6"/>
  <c r="B28" i="6"/>
  <c r="B38" i="6"/>
  <c r="B48" i="6"/>
  <c r="B58" i="6"/>
  <c r="P51" i="24" s="1"/>
  <c r="B71" i="6"/>
  <c r="B75" i="6"/>
  <c r="P68" i="24" s="1"/>
  <c r="G152" i="6"/>
  <c r="U144" i="24" s="1"/>
  <c r="G153" i="6"/>
  <c r="G154" i="6"/>
  <c r="G155" i="6"/>
  <c r="U147" i="24" s="1"/>
  <c r="G156" i="6"/>
  <c r="U148" i="24" s="1"/>
  <c r="G157" i="6"/>
  <c r="G151" i="6"/>
  <c r="G148" i="6"/>
  <c r="G149" i="6"/>
  <c r="U141" i="24" s="1"/>
  <c r="G147" i="6"/>
  <c r="G139" i="6"/>
  <c r="G140" i="6"/>
  <c r="G141" i="6"/>
  <c r="G142" i="6"/>
  <c r="G143" i="6"/>
  <c r="G144" i="6"/>
  <c r="G145" i="6"/>
  <c r="G138" i="6"/>
  <c r="G135" i="6"/>
  <c r="G136" i="6"/>
  <c r="U128" i="24" s="1"/>
  <c r="G134" i="6"/>
  <c r="G125" i="6"/>
  <c r="G126" i="6"/>
  <c r="G127" i="6"/>
  <c r="U119" i="24" s="1"/>
  <c r="G128" i="6"/>
  <c r="G129" i="6"/>
  <c r="G130" i="6"/>
  <c r="U122" i="24" s="1"/>
  <c r="G131" i="6"/>
  <c r="U123" i="24" s="1"/>
  <c r="G132" i="6"/>
  <c r="G124" i="6"/>
  <c r="G115" i="6"/>
  <c r="G116" i="6"/>
  <c r="G117" i="6"/>
  <c r="U109" i="24" s="1"/>
  <c r="G118" i="6"/>
  <c r="G119" i="6"/>
  <c r="G120" i="6"/>
  <c r="U112" i="24" s="1"/>
  <c r="G121" i="6"/>
  <c r="U113" i="24" s="1"/>
  <c r="G122" i="6"/>
  <c r="G114" i="6"/>
  <c r="G105" i="6"/>
  <c r="U97" i="24" s="1"/>
  <c r="G106" i="6"/>
  <c r="G107" i="6"/>
  <c r="G108" i="6"/>
  <c r="G109" i="6"/>
  <c r="U101" i="24" s="1"/>
  <c r="G110" i="6"/>
  <c r="U102" i="24" s="1"/>
  <c r="G111" i="6"/>
  <c r="G112" i="6"/>
  <c r="G104" i="6"/>
  <c r="G95" i="6"/>
  <c r="U87" i="24" s="1"/>
  <c r="G96" i="6"/>
  <c r="G97" i="6"/>
  <c r="G98" i="6"/>
  <c r="U90" i="24" s="1"/>
  <c r="G99" i="6"/>
  <c r="U91" i="24" s="1"/>
  <c r="G100" i="6"/>
  <c r="G101" i="6"/>
  <c r="G102" i="6"/>
  <c r="U94" i="24" s="1"/>
  <c r="G94" i="6"/>
  <c r="U86" i="24" s="1"/>
  <c r="G87" i="6"/>
  <c r="G88" i="6"/>
  <c r="U80" i="24" s="1"/>
  <c r="G89" i="6"/>
  <c r="U81" i="24" s="1"/>
  <c r="G90" i="6"/>
  <c r="G91" i="6"/>
  <c r="G92" i="6"/>
  <c r="U84" i="24" s="1"/>
  <c r="G86" i="6"/>
  <c r="G77" i="6"/>
  <c r="G78" i="6"/>
  <c r="G79" i="6"/>
  <c r="G80" i="6"/>
  <c r="U73" i="24" s="1"/>
  <c r="G81" i="6"/>
  <c r="U74" i="24" s="1"/>
  <c r="G82" i="6"/>
  <c r="G76" i="6"/>
  <c r="G73" i="6"/>
  <c r="G74" i="6"/>
  <c r="G72" i="6"/>
  <c r="G64" i="6"/>
  <c r="U57" i="24" s="1"/>
  <c r="G65" i="6"/>
  <c r="G66" i="6"/>
  <c r="G67" i="6"/>
  <c r="U60" i="24" s="1"/>
  <c r="G68" i="6"/>
  <c r="G69" i="6"/>
  <c r="U62" i="24" s="1"/>
  <c r="G70" i="6"/>
  <c r="G63" i="6"/>
  <c r="U56" i="24" s="1"/>
  <c r="U53" i="24"/>
  <c r="G61" i="6"/>
  <c r="G59" i="6"/>
  <c r="G58" i="6" s="1"/>
  <c r="G50" i="6"/>
  <c r="G51" i="6"/>
  <c r="G52" i="6"/>
  <c r="G53" i="6"/>
  <c r="G54" i="6"/>
  <c r="G55" i="6"/>
  <c r="G56" i="6"/>
  <c r="G57" i="6"/>
  <c r="G49" i="6"/>
  <c r="G40" i="6"/>
  <c r="U33" i="24" s="1"/>
  <c r="G41" i="6"/>
  <c r="U34" i="24" s="1"/>
  <c r="G42" i="6"/>
  <c r="G43" i="6"/>
  <c r="G44" i="6"/>
  <c r="U37" i="24" s="1"/>
  <c r="G45" i="6"/>
  <c r="U38" i="24" s="1"/>
  <c r="G46" i="6"/>
  <c r="G47" i="6"/>
  <c r="G39" i="6"/>
  <c r="G31" i="6"/>
  <c r="U24" i="24" s="1"/>
  <c r="G32" i="6"/>
  <c r="G33" i="6"/>
  <c r="G34" i="6"/>
  <c r="G35" i="6"/>
  <c r="G36" i="6"/>
  <c r="G37" i="6"/>
  <c r="G29" i="6"/>
  <c r="G20" i="6"/>
  <c r="G21" i="6"/>
  <c r="G22" i="6"/>
  <c r="U15" i="24" s="1"/>
  <c r="G23" i="6"/>
  <c r="G24" i="6"/>
  <c r="G25" i="6"/>
  <c r="G26" i="6"/>
  <c r="U19" i="24" s="1"/>
  <c r="G27" i="6"/>
  <c r="G19" i="6"/>
  <c r="G11" i="6"/>
  <c r="B7" i="13"/>
  <c r="P2" i="31" s="1"/>
  <c r="G12" i="6"/>
  <c r="G13" i="6"/>
  <c r="G14" i="6"/>
  <c r="G16" i="6"/>
  <c r="G17" i="6"/>
  <c r="U10" i="24" s="1"/>
  <c r="G9" i="5"/>
  <c r="G10" i="5"/>
  <c r="U4" i="20" s="1"/>
  <c r="G11" i="5"/>
  <c r="U5" i="20" s="1"/>
  <c r="G12" i="5"/>
  <c r="G13" i="5"/>
  <c r="G14" i="5"/>
  <c r="U8" i="20" s="1"/>
  <c r="U9" i="20"/>
  <c r="U14" i="20"/>
  <c r="U18" i="20"/>
  <c r="G16" i="5"/>
  <c r="U10" i="20" s="1"/>
  <c r="G29" i="5"/>
  <c r="U23" i="20" s="1"/>
  <c r="G30" i="5"/>
  <c r="U24" i="20" s="1"/>
  <c r="G31" i="5"/>
  <c r="G32" i="5"/>
  <c r="G33" i="5"/>
  <c r="U27" i="20" s="1"/>
  <c r="G34" i="5"/>
  <c r="U28" i="20" s="1"/>
  <c r="G36" i="5"/>
  <c r="G35" i="5" s="1"/>
  <c r="U29" i="20" s="1"/>
  <c r="G38" i="5"/>
  <c r="U32" i="20" s="1"/>
  <c r="G39" i="5"/>
  <c r="U33" i="20" s="1"/>
  <c r="F20" i="23"/>
  <c r="B6" i="2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 s="1"/>
  <c r="C7" i="13"/>
  <c r="Q2" i="31" s="1"/>
  <c r="D7" i="13"/>
  <c r="E7" i="13"/>
  <c r="S2" i="31" s="1"/>
  <c r="F7" i="13"/>
  <c r="F29" i="13" s="1"/>
  <c r="T22" i="31" s="1"/>
  <c r="G7" i="13"/>
  <c r="U2" i="31" s="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/>
  <c r="D28" i="12"/>
  <c r="R21" i="30" s="1"/>
  <c r="E28" i="12"/>
  <c r="S21" i="30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E7" i="12"/>
  <c r="E31" i="12"/>
  <c r="S23" i="30" s="1"/>
  <c r="F7" i="12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S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C19" i="11"/>
  <c r="Q12" i="29" s="1"/>
  <c r="D19" i="1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Q2" i="29" s="1"/>
  <c r="D8" i="11"/>
  <c r="R2" i="29" s="1"/>
  <c r="E8" i="11"/>
  <c r="E30" i="11" s="1"/>
  <c r="S22" i="29" s="1"/>
  <c r="F8" i="11"/>
  <c r="T2" i="29" s="1"/>
  <c r="G8" i="11"/>
  <c r="U2" i="29" s="1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 s="1"/>
  <c r="E29" i="10"/>
  <c r="S21" i="28"/>
  <c r="F29" i="10"/>
  <c r="T21" i="28" s="1"/>
  <c r="G29" i="10"/>
  <c r="U21" i="28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9" i="9" s="1"/>
  <c r="C16" i="9"/>
  <c r="D12" i="9"/>
  <c r="D9" i="9" s="1"/>
  <c r="D16" i="9"/>
  <c r="R9" i="27" s="1"/>
  <c r="E12" i="9"/>
  <c r="E16" i="9"/>
  <c r="E9" i="9" s="1"/>
  <c r="F12" i="9"/>
  <c r="F16" i="9"/>
  <c r="F9" i="9"/>
  <c r="T2" i="27" s="1"/>
  <c r="G16" i="9"/>
  <c r="Q3" i="27"/>
  <c r="R3" i="27"/>
  <c r="S3" i="27"/>
  <c r="T3" i="27"/>
  <c r="U3" i="27"/>
  <c r="Q4" i="27"/>
  <c r="R4" i="27"/>
  <c r="S4" i="27"/>
  <c r="T4" i="27"/>
  <c r="R5" i="27"/>
  <c r="S5" i="27"/>
  <c r="T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Q9" i="27"/>
  <c r="T9" i="27"/>
  <c r="U9" i="27"/>
  <c r="Q10" i="27"/>
  <c r="R10" i="27"/>
  <c r="S10" i="27"/>
  <c r="T10" i="27"/>
  <c r="U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R16" i="27" s="1"/>
  <c r="D28" i="9"/>
  <c r="E24" i="9"/>
  <c r="S16" i="27" s="1"/>
  <c r="E28" i="9"/>
  <c r="S20" i="27" s="1"/>
  <c r="F24" i="9"/>
  <c r="F28" i="9"/>
  <c r="F21" i="9" s="1"/>
  <c r="T13" i="27" s="1"/>
  <c r="Q14" i="27"/>
  <c r="R14" i="27"/>
  <c r="S14" i="27"/>
  <c r="T14" i="27"/>
  <c r="U14" i="27"/>
  <c r="Q15" i="27"/>
  <c r="R15" i="27"/>
  <c r="S15" i="27"/>
  <c r="T15" i="27"/>
  <c r="U15" i="27"/>
  <c r="T16" i="27"/>
  <c r="Q17" i="27"/>
  <c r="R17" i="27"/>
  <c r="S17" i="27"/>
  <c r="T17" i="27"/>
  <c r="Q18" i="27"/>
  <c r="R18" i="27"/>
  <c r="S18" i="27"/>
  <c r="T18" i="27"/>
  <c r="U18" i="27"/>
  <c r="Q19" i="27"/>
  <c r="R19" i="27"/>
  <c r="S19" i="27"/>
  <c r="T19" i="27"/>
  <c r="U19" i="27"/>
  <c r="R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P9" i="27"/>
  <c r="P10" i="27"/>
  <c r="P11" i="27"/>
  <c r="P12" i="27"/>
  <c r="B24" i="9"/>
  <c r="B28" i="9"/>
  <c r="P20" i="27" s="1"/>
  <c r="P14" i="27"/>
  <c r="P15" i="27"/>
  <c r="P17" i="27"/>
  <c r="P18" i="27"/>
  <c r="P19" i="27"/>
  <c r="P21" i="27"/>
  <c r="P22" i="27"/>
  <c r="P23" i="27"/>
  <c r="B9" i="9"/>
  <c r="A5" i="27"/>
  <c r="A4" i="27"/>
  <c r="A3" i="27"/>
  <c r="A2" i="27"/>
  <c r="C10" i="8"/>
  <c r="Q3" i="26" s="1"/>
  <c r="Q12" i="26"/>
  <c r="C27" i="8"/>
  <c r="C37" i="8"/>
  <c r="D10" i="8"/>
  <c r="R12" i="26"/>
  <c r="D27" i="8"/>
  <c r="R20" i="26" s="1"/>
  <c r="D37" i="8"/>
  <c r="E10" i="8"/>
  <c r="E19" i="8"/>
  <c r="G19" i="8" s="1"/>
  <c r="E27" i="8"/>
  <c r="S20" i="26" s="1"/>
  <c r="E37" i="8"/>
  <c r="S30" i="26" s="1"/>
  <c r="F10" i="8"/>
  <c r="T3" i="26" s="1"/>
  <c r="F19" i="8"/>
  <c r="F27" i="8"/>
  <c r="T20" i="26" s="1"/>
  <c r="F37" i="8"/>
  <c r="T30" i="26" s="1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Q8" i="26"/>
  <c r="R8" i="26"/>
  <c r="S8" i="26"/>
  <c r="T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S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Q30" i="26"/>
  <c r="R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Q45" i="26" s="1"/>
  <c r="C61" i="8"/>
  <c r="Q53" i="26" s="1"/>
  <c r="C71" i="8"/>
  <c r="Q63" i="26" s="1"/>
  <c r="D44" i="8"/>
  <c r="R36" i="26" s="1"/>
  <c r="D53" i="8"/>
  <c r="D61" i="8"/>
  <c r="R53" i="26" s="1"/>
  <c r="D71" i="8"/>
  <c r="R63" i="26" s="1"/>
  <c r="E44" i="8"/>
  <c r="S36" i="26" s="1"/>
  <c r="E53" i="8"/>
  <c r="E61" i="8"/>
  <c r="E71" i="8"/>
  <c r="S63" i="26" s="1"/>
  <c r="F44" i="8"/>
  <c r="T36" i="26" s="1"/>
  <c r="F53" i="8"/>
  <c r="F61" i="8"/>
  <c r="T53" i="26" s="1"/>
  <c r="F71" i="8"/>
  <c r="Q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S53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T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P53" i="26" s="1"/>
  <c r="B71" i="8"/>
  <c r="B10" i="8"/>
  <c r="B19" i="8"/>
  <c r="B27" i="8"/>
  <c r="B37" i="8"/>
  <c r="P30" i="26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E19" i="7"/>
  <c r="S3" i="25" s="1"/>
  <c r="D9" i="7"/>
  <c r="D19" i="7"/>
  <c r="R3" i="25" s="1"/>
  <c r="C9" i="7"/>
  <c r="Q2" i="25" s="1"/>
  <c r="C19" i="7"/>
  <c r="Q3" i="25" s="1"/>
  <c r="B9" i="7"/>
  <c r="B19" i="7"/>
  <c r="P3" i="25" s="1"/>
  <c r="A3" i="25"/>
  <c r="A4" i="25"/>
  <c r="A2" i="25"/>
  <c r="A87" i="24"/>
  <c r="C85" i="6"/>
  <c r="Q77" i="24" s="1"/>
  <c r="C93" i="6"/>
  <c r="C103" i="6"/>
  <c r="C113" i="6"/>
  <c r="Q105" i="24" s="1"/>
  <c r="C123" i="6"/>
  <c r="Q115" i="24" s="1"/>
  <c r="C133" i="6"/>
  <c r="C146" i="6"/>
  <c r="Q138" i="24" s="1"/>
  <c r="C150" i="6"/>
  <c r="D85" i="6"/>
  <c r="R77" i="24" s="1"/>
  <c r="D93" i="6"/>
  <c r="D103" i="6"/>
  <c r="D113" i="6"/>
  <c r="D123" i="6"/>
  <c r="R115" i="24" s="1"/>
  <c r="D133" i="6"/>
  <c r="D146" i="6"/>
  <c r="D150" i="6"/>
  <c r="R142" i="24" s="1"/>
  <c r="E85" i="6"/>
  <c r="E93" i="6"/>
  <c r="S85" i="24" s="1"/>
  <c r="E103" i="6"/>
  <c r="S95" i="24" s="1"/>
  <c r="E113" i="6"/>
  <c r="S105" i="24" s="1"/>
  <c r="E123" i="6"/>
  <c r="E133" i="6"/>
  <c r="E146" i="6"/>
  <c r="E150" i="6"/>
  <c r="S142" i="24" s="1"/>
  <c r="F85" i="6"/>
  <c r="T77" i="24" s="1"/>
  <c r="F93" i="6"/>
  <c r="F103" i="6"/>
  <c r="F113" i="6"/>
  <c r="T105" i="24" s="1"/>
  <c r="F123" i="6"/>
  <c r="F133" i="6"/>
  <c r="T125" i="24" s="1"/>
  <c r="F146" i="6"/>
  <c r="F150" i="6"/>
  <c r="T142" i="24" s="1"/>
  <c r="G146" i="6"/>
  <c r="U138" i="24" s="1"/>
  <c r="S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5" i="24"/>
  <c r="R85" i="24"/>
  <c r="T85" i="24"/>
  <c r="Q86" i="24"/>
  <c r="R86" i="24"/>
  <c r="S86" i="24"/>
  <c r="T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Q91" i="24"/>
  <c r="R91" i="24"/>
  <c r="S91" i="24"/>
  <c r="T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Q95" i="24"/>
  <c r="R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Q103" i="24"/>
  <c r="R103" i="24"/>
  <c r="S103" i="24"/>
  <c r="T103" i="24"/>
  <c r="U103" i="24"/>
  <c r="Q104" i="24"/>
  <c r="R104" i="24"/>
  <c r="S104" i="24"/>
  <c r="T104" i="24"/>
  <c r="U104" i="24"/>
  <c r="R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Q113" i="24"/>
  <c r="R113" i="24"/>
  <c r="S113" i="24"/>
  <c r="T113" i="24"/>
  <c r="Q114" i="24"/>
  <c r="R114" i="24"/>
  <c r="S114" i="24"/>
  <c r="T114" i="24"/>
  <c r="U114" i="24"/>
  <c r="S115" i="24"/>
  <c r="T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U124" i="24"/>
  <c r="Q125" i="24"/>
  <c r="R125" i="24"/>
  <c r="S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R138" i="24"/>
  <c r="S138" i="24"/>
  <c r="T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Q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Q3" i="24"/>
  <c r="C18" i="6"/>
  <c r="Q11" i="24" s="1"/>
  <c r="Q21" i="24"/>
  <c r="C38" i="6"/>
  <c r="Q31" i="24" s="1"/>
  <c r="C48" i="6"/>
  <c r="C58" i="6"/>
  <c r="Q51" i="24" s="1"/>
  <c r="C71" i="6"/>
  <c r="Q64" i="24" s="1"/>
  <c r="C75" i="6"/>
  <c r="R3" i="24"/>
  <c r="D18" i="6"/>
  <c r="R21" i="24"/>
  <c r="D38" i="6"/>
  <c r="R31" i="24" s="1"/>
  <c r="D48" i="6"/>
  <c r="R41" i="24" s="1"/>
  <c r="D71" i="6"/>
  <c r="D75" i="6"/>
  <c r="R68" i="24" s="1"/>
  <c r="S3" i="24"/>
  <c r="E18" i="6"/>
  <c r="S11" i="24" s="1"/>
  <c r="S21" i="24"/>
  <c r="E38" i="6"/>
  <c r="S31" i="24" s="1"/>
  <c r="E48" i="6"/>
  <c r="S41" i="24" s="1"/>
  <c r="E58" i="6"/>
  <c r="S51" i="24" s="1"/>
  <c r="E71" i="6"/>
  <c r="E75" i="6"/>
  <c r="S68" i="24" s="1"/>
  <c r="T3" i="24"/>
  <c r="F18" i="6"/>
  <c r="T21" i="24"/>
  <c r="F38" i="6"/>
  <c r="F48" i="6"/>
  <c r="T41" i="24" s="1"/>
  <c r="F58" i="6"/>
  <c r="F71" i="6"/>
  <c r="F75" i="6"/>
  <c r="G48" i="6"/>
  <c r="U41" i="24" s="1"/>
  <c r="G71" i="6"/>
  <c r="U64" i="24" s="1"/>
  <c r="B85" i="6"/>
  <c r="B93" i="6"/>
  <c r="B103" i="6"/>
  <c r="B113" i="6"/>
  <c r="B123" i="6"/>
  <c r="B133" i="6"/>
  <c r="P125" i="24" s="1"/>
  <c r="B146" i="6"/>
  <c r="P138" i="24" s="1"/>
  <c r="B150" i="6"/>
  <c r="P142" i="24" s="1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Q20" i="24"/>
  <c r="R20" i="24"/>
  <c r="S20" i="24"/>
  <c r="T20" i="24"/>
  <c r="U20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Q25" i="24"/>
  <c r="R25" i="24"/>
  <c r="S25" i="24"/>
  <c r="T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T31" i="24"/>
  <c r="Q32" i="24"/>
  <c r="R32" i="24"/>
  <c r="S32" i="24"/>
  <c r="T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Q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R51" i="24"/>
  <c r="T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S55" i="24"/>
  <c r="T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U63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Q74" i="24"/>
  <c r="R74" i="24"/>
  <c r="S74" i="24"/>
  <c r="T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6" i="20"/>
  <c r="U7" i="20"/>
  <c r="U11" i="20"/>
  <c r="U12" i="20"/>
  <c r="U13" i="20"/>
  <c r="U15" i="20"/>
  <c r="U16" i="20"/>
  <c r="U17" i="20"/>
  <c r="U19" i="20"/>
  <c r="U20" i="20"/>
  <c r="U21" i="20"/>
  <c r="U25" i="20"/>
  <c r="U26" i="20"/>
  <c r="U30" i="20"/>
  <c r="G46" i="5"/>
  <c r="G47" i="5"/>
  <c r="U39" i="20" s="1"/>
  <c r="G48" i="5"/>
  <c r="U40" i="20" s="1"/>
  <c r="G49" i="5"/>
  <c r="U41" i="20" s="1"/>
  <c r="G50" i="5"/>
  <c r="G51" i="5"/>
  <c r="U43" i="20" s="1"/>
  <c r="G52" i="5"/>
  <c r="U44" i="20" s="1"/>
  <c r="G53" i="5"/>
  <c r="U45" i="20" s="1"/>
  <c r="U42" i="20"/>
  <c r="G55" i="5"/>
  <c r="U47" i="20" s="1"/>
  <c r="G56" i="5"/>
  <c r="U48" i="20" s="1"/>
  <c r="G57" i="5"/>
  <c r="U49" i="20" s="1"/>
  <c r="G58" i="5"/>
  <c r="U50" i="20" s="1"/>
  <c r="G60" i="5"/>
  <c r="G61" i="5"/>
  <c r="U53" i="20" s="1"/>
  <c r="G62" i="5"/>
  <c r="U54" i="20" s="1"/>
  <c r="G63" i="5"/>
  <c r="U55" i="20" s="1"/>
  <c r="G68" i="5"/>
  <c r="G67" i="5" s="1"/>
  <c r="U57" i="20" s="1"/>
  <c r="G73" i="5"/>
  <c r="U60" i="20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E16" i="5"/>
  <c r="S10" i="20" s="1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 s="1"/>
  <c r="E28" i="5"/>
  <c r="S22" i="20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C65" i="5" s="1"/>
  <c r="Q56" i="20" s="1"/>
  <c r="D54" i="5"/>
  <c r="E54" i="5"/>
  <c r="S46" i="20" s="1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 s="1"/>
  <c r="F65" i="5"/>
  <c r="T56" i="20" s="1"/>
  <c r="C67" i="5"/>
  <c r="Q57" i="20"/>
  <c r="D67" i="5"/>
  <c r="R57" i="20" s="1"/>
  <c r="E67" i="5"/>
  <c r="S57" i="20" s="1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/>
  <c r="F75" i="5"/>
  <c r="T62" i="20" s="1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28" i="5"/>
  <c r="B41" i="5" s="1"/>
  <c r="B35" i="5"/>
  <c r="P29" i="20" s="1"/>
  <c r="B37" i="5"/>
  <c r="P31" i="20" s="1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E6" i="1"/>
  <c r="B6" i="1"/>
  <c r="D5" i="13"/>
  <c r="C5" i="13"/>
  <c r="B5" i="13"/>
  <c r="D5" i="12"/>
  <c r="C5" i="12"/>
  <c r="B5" i="12"/>
  <c r="I25" i="23"/>
  <c r="D23" i="23"/>
  <c r="B6" i="11"/>
  <c r="I23" i="23"/>
  <c r="G6" i="11" s="1"/>
  <c r="H23" i="23"/>
  <c r="F6" i="11"/>
  <c r="G23" i="23"/>
  <c r="E6" i="11" s="1"/>
  <c r="F23" i="23"/>
  <c r="D6" i="10" s="1"/>
  <c r="D6" i="11"/>
  <c r="E23" i="23"/>
  <c r="C6" i="11" s="1"/>
  <c r="F6" i="10"/>
  <c r="E6" i="10"/>
  <c r="B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E14" i="3"/>
  <c r="S4" i="17" s="1"/>
  <c r="K9" i="3"/>
  <c r="K10" i="3"/>
  <c r="K11" i="3"/>
  <c r="K12" i="3"/>
  <c r="J8" i="3"/>
  <c r="X3" i="17" s="1"/>
  <c r="H8" i="3"/>
  <c r="H20" i="3" s="1"/>
  <c r="V5" i="17" s="1"/>
  <c r="G8" i="3"/>
  <c r="U3" i="17" s="1"/>
  <c r="E8" i="3"/>
  <c r="S3" i="17" s="1"/>
  <c r="F41" i="2"/>
  <c r="T17" i="16" s="1"/>
  <c r="E41" i="2"/>
  <c r="S17" i="16" s="1"/>
  <c r="D41" i="2"/>
  <c r="R17" i="16" s="1"/>
  <c r="C41" i="2"/>
  <c r="Q17" i="16" s="1"/>
  <c r="H27" i="2"/>
  <c r="V15" i="16" s="1"/>
  <c r="G27" i="2"/>
  <c r="U15" i="16" s="1"/>
  <c r="F27" i="2"/>
  <c r="T15" i="16" s="1"/>
  <c r="E27" i="2"/>
  <c r="S15" i="16" s="1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B64" i="4"/>
  <c r="P33" i="18" s="1"/>
  <c r="B63" i="4"/>
  <c r="B55" i="4"/>
  <c r="B53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Q76" i="15" s="1"/>
  <c r="F31" i="1"/>
  <c r="F38" i="1"/>
  <c r="F42" i="1"/>
  <c r="Q91" i="15" s="1"/>
  <c r="F63" i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/>
  <c r="Q117" i="15"/>
  <c r="Q118" i="15"/>
  <c r="E19" i="1"/>
  <c r="P67" i="15" s="1"/>
  <c r="E23" i="1"/>
  <c r="P71" i="15" s="1"/>
  <c r="E31" i="1"/>
  <c r="P80" i="15" s="1"/>
  <c r="E38" i="1"/>
  <c r="P87" i="15" s="1"/>
  <c r="E42" i="1"/>
  <c r="P91" i="15" s="1"/>
  <c r="E63" i="1"/>
  <c r="P106" i="15" s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Q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2" i="15"/>
  <c r="Q72" i="15"/>
  <c r="P73" i="15"/>
  <c r="Q73" i="15"/>
  <c r="P74" i="15"/>
  <c r="Q74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Q34" i="15" s="1"/>
  <c r="C41" i="1"/>
  <c r="Q37" i="15" s="1"/>
  <c r="C60" i="1"/>
  <c r="Q53" i="15" s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Q36" i="18" s="1"/>
  <c r="D68" i="4"/>
  <c r="R36" i="18" s="1"/>
  <c r="C64" i="4"/>
  <c r="Q33" i="18" s="1"/>
  <c r="D64" i="4"/>
  <c r="R33" i="18" s="1"/>
  <c r="C63" i="4"/>
  <c r="D63" i="4"/>
  <c r="C55" i="4"/>
  <c r="D55" i="4"/>
  <c r="C53" i="4"/>
  <c r="Q30" i="18" s="1"/>
  <c r="D53" i="4"/>
  <c r="R30" i="18" s="1"/>
  <c r="D48" i="4"/>
  <c r="C49" i="4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R19" i="18" s="1"/>
  <c r="C13" i="4"/>
  <c r="Q6" i="18" s="1"/>
  <c r="D13" i="4"/>
  <c r="C13" i="2"/>
  <c r="Q8" i="16" s="1"/>
  <c r="D13" i="2"/>
  <c r="R8" i="16" s="1"/>
  <c r="E13" i="2"/>
  <c r="S8" i="16" s="1"/>
  <c r="F13" i="2"/>
  <c r="T8" i="16"/>
  <c r="G13" i="2"/>
  <c r="U8" i="16" s="1"/>
  <c r="H13" i="2"/>
  <c r="V8" i="16" s="1"/>
  <c r="B13" i="2"/>
  <c r="P8" i="16"/>
  <c r="Q4" i="16"/>
  <c r="D9" i="2"/>
  <c r="R4" i="16" s="1"/>
  <c r="E9" i="2"/>
  <c r="S4" i="16" s="1"/>
  <c r="F9" i="2"/>
  <c r="T4" i="16" s="1"/>
  <c r="G9" i="2"/>
  <c r="U4" i="16" s="1"/>
  <c r="H9" i="2"/>
  <c r="B9" i="2"/>
  <c r="P4" i="16" s="1"/>
  <c r="P4" i="15"/>
  <c r="R32" i="18"/>
  <c r="Q9" i="18"/>
  <c r="Q27" i="18"/>
  <c r="R31" i="18"/>
  <c r="Q31" i="18"/>
  <c r="R37" i="18"/>
  <c r="R6" i="18"/>
  <c r="Q19" i="18"/>
  <c r="Q26" i="18"/>
  <c r="Q37" i="18"/>
  <c r="G8" i="2"/>
  <c r="U3" i="16" s="1"/>
  <c r="Q67" i="15"/>
  <c r="U8" i="24" l="1"/>
  <c r="G10" i="6"/>
  <c r="F41" i="5"/>
  <c r="G6" i="10"/>
  <c r="Q46" i="20"/>
  <c r="T22" i="20"/>
  <c r="G75" i="5"/>
  <c r="U62" i="20" s="1"/>
  <c r="F9" i="6"/>
  <c r="S9" i="27"/>
  <c r="C32" i="10"/>
  <c r="Q23" i="28" s="1"/>
  <c r="D29" i="13"/>
  <c r="G18" i="6"/>
  <c r="U11" i="24" s="1"/>
  <c r="G75" i="6"/>
  <c r="U68" i="24" s="1"/>
  <c r="G103" i="6"/>
  <c r="U95" i="24" s="1"/>
  <c r="G44" i="8"/>
  <c r="G53" i="8"/>
  <c r="U45" i="26" s="1"/>
  <c r="H8" i="2"/>
  <c r="V3" i="16" s="1"/>
  <c r="C6" i="10"/>
  <c r="U58" i="20"/>
  <c r="B9" i="8"/>
  <c r="G85" i="6"/>
  <c r="G113" i="6"/>
  <c r="U105" i="24" s="1"/>
  <c r="G38" i="6"/>
  <c r="U31" i="24" s="1"/>
  <c r="G123" i="6"/>
  <c r="U115" i="24" s="1"/>
  <c r="G133" i="6"/>
  <c r="U125" i="24" s="1"/>
  <c r="G37" i="8"/>
  <c r="U30" i="26" s="1"/>
  <c r="G71" i="8"/>
  <c r="U63" i="26" s="1"/>
  <c r="G28" i="9"/>
  <c r="U20" i="27" s="1"/>
  <c r="P22" i="20"/>
  <c r="D65" i="5"/>
  <c r="R56" i="20" s="1"/>
  <c r="R10" i="20"/>
  <c r="D41" i="5"/>
  <c r="D70" i="5" s="1"/>
  <c r="G59" i="5"/>
  <c r="U51" i="20" s="1"/>
  <c r="D21" i="9"/>
  <c r="R13" i="27" s="1"/>
  <c r="Q5" i="27"/>
  <c r="E32" i="10"/>
  <c r="S23" i="28" s="1"/>
  <c r="G137" i="6"/>
  <c r="U129" i="24" s="1"/>
  <c r="G27" i="8"/>
  <c r="U20" i="26" s="1"/>
  <c r="G61" i="8"/>
  <c r="U53" i="26" s="1"/>
  <c r="G9" i="7"/>
  <c r="G29" i="7" s="1"/>
  <c r="U4" i="25" s="1"/>
  <c r="G28" i="6"/>
  <c r="U21" i="24" s="1"/>
  <c r="S2" i="29"/>
  <c r="E29" i="7"/>
  <c r="S4" i="25" s="1"/>
  <c r="G32" i="10"/>
  <c r="U23" i="28" s="1"/>
  <c r="B32" i="10"/>
  <c r="P23" i="28" s="1"/>
  <c r="F32" i="10"/>
  <c r="T23" i="28" s="1"/>
  <c r="D32" i="10"/>
  <c r="R23" i="28" s="1"/>
  <c r="B30" i="11"/>
  <c r="P22" i="29" s="1"/>
  <c r="C30" i="11"/>
  <c r="Q22" i="29" s="1"/>
  <c r="G30" i="11"/>
  <c r="U22" i="29" s="1"/>
  <c r="D30" i="11"/>
  <c r="R22" i="29" s="1"/>
  <c r="F30" i="11"/>
  <c r="T22" i="29" s="1"/>
  <c r="R12" i="29"/>
  <c r="P12" i="29"/>
  <c r="T2" i="31"/>
  <c r="E29" i="13"/>
  <c r="S22" i="31" s="1"/>
  <c r="R2" i="31"/>
  <c r="G29" i="13"/>
  <c r="U22" i="31" s="1"/>
  <c r="R22" i="31"/>
  <c r="C29" i="13"/>
  <c r="Q22" i="31" s="1"/>
  <c r="G31" i="12"/>
  <c r="U23" i="30" s="1"/>
  <c r="F31" i="12"/>
  <c r="T23" i="30" s="1"/>
  <c r="D31" i="12"/>
  <c r="R23" i="30" s="1"/>
  <c r="T2" i="30"/>
  <c r="B31" i="12"/>
  <c r="P23" i="30" s="1"/>
  <c r="C31" i="12"/>
  <c r="Q23" i="30" s="1"/>
  <c r="Q2" i="30"/>
  <c r="R2" i="30"/>
  <c r="P2" i="30"/>
  <c r="T20" i="27"/>
  <c r="C21" i="9"/>
  <c r="Q13" i="27" s="1"/>
  <c r="B21" i="9"/>
  <c r="P13" i="27" s="1"/>
  <c r="E21" i="9"/>
  <c r="S13" i="27" s="1"/>
  <c r="G24" i="9"/>
  <c r="D33" i="9"/>
  <c r="R24" i="27" s="1"/>
  <c r="Q16" i="27"/>
  <c r="B33" i="9"/>
  <c r="P24" i="27" s="1"/>
  <c r="P16" i="27"/>
  <c r="S2" i="27"/>
  <c r="Q2" i="27"/>
  <c r="R2" i="27"/>
  <c r="F33" i="9"/>
  <c r="T24" i="27" s="1"/>
  <c r="U5" i="27"/>
  <c r="G9" i="9"/>
  <c r="P2" i="27"/>
  <c r="E43" i="8"/>
  <c r="S35" i="26" s="1"/>
  <c r="C43" i="8"/>
  <c r="Q35" i="26" s="1"/>
  <c r="U54" i="26"/>
  <c r="F43" i="8"/>
  <c r="T35" i="26" s="1"/>
  <c r="B43" i="8"/>
  <c r="P35" i="26" s="1"/>
  <c r="T45" i="26"/>
  <c r="B77" i="8"/>
  <c r="P68" i="26" s="1"/>
  <c r="D43" i="8"/>
  <c r="R35" i="26" s="1"/>
  <c r="U36" i="26"/>
  <c r="G43" i="8"/>
  <c r="U35" i="26" s="1"/>
  <c r="U26" i="26"/>
  <c r="F9" i="8"/>
  <c r="T2" i="26" s="1"/>
  <c r="E9" i="8"/>
  <c r="E77" i="8" s="1"/>
  <c r="S68" i="26" s="1"/>
  <c r="T12" i="26"/>
  <c r="U12" i="26"/>
  <c r="D9" i="8"/>
  <c r="P2" i="26"/>
  <c r="C9" i="8"/>
  <c r="D29" i="7"/>
  <c r="R4" i="25" s="1"/>
  <c r="B29" i="7"/>
  <c r="P4" i="25" s="1"/>
  <c r="P2" i="25"/>
  <c r="G150" i="6"/>
  <c r="U142" i="24" s="1"/>
  <c r="C84" i="6"/>
  <c r="Q76" i="24" s="1"/>
  <c r="B84" i="6"/>
  <c r="P76" i="24" s="1"/>
  <c r="U118" i="24"/>
  <c r="F84" i="6"/>
  <c r="T76" i="24" s="1"/>
  <c r="D84" i="6"/>
  <c r="R76" i="24" s="1"/>
  <c r="U108" i="24"/>
  <c r="U98" i="24"/>
  <c r="T95" i="24"/>
  <c r="P85" i="24"/>
  <c r="E84" i="6"/>
  <c r="S76" i="24" s="1"/>
  <c r="G93" i="6"/>
  <c r="U85" i="24" s="1"/>
  <c r="U77" i="24"/>
  <c r="U70" i="24"/>
  <c r="G62" i="6"/>
  <c r="U55" i="24" s="1"/>
  <c r="U51" i="24"/>
  <c r="U54" i="24"/>
  <c r="U32" i="24"/>
  <c r="B9" i="6"/>
  <c r="U25" i="24"/>
  <c r="D9" i="6"/>
  <c r="P21" i="24"/>
  <c r="R11" i="24"/>
  <c r="C9" i="6"/>
  <c r="E9" i="6"/>
  <c r="U52" i="20"/>
  <c r="R46" i="20"/>
  <c r="G54" i="5"/>
  <c r="U46" i="20" s="1"/>
  <c r="B65" i="5"/>
  <c r="P56" i="20" s="1"/>
  <c r="G45" i="5"/>
  <c r="U37" i="20"/>
  <c r="P37" i="20"/>
  <c r="U38" i="20"/>
  <c r="G37" i="5"/>
  <c r="U31" i="20" s="1"/>
  <c r="E41" i="5"/>
  <c r="E70" i="5" s="1"/>
  <c r="R34" i="20"/>
  <c r="C41" i="5"/>
  <c r="C70" i="5" s="1"/>
  <c r="G28" i="5"/>
  <c r="U22" i="20" s="1"/>
  <c r="C72" i="4"/>
  <c r="C74" i="4" s="1"/>
  <c r="Q39" i="18" s="1"/>
  <c r="C57" i="4"/>
  <c r="C59" i="4" s="1"/>
  <c r="C44" i="4"/>
  <c r="Q25" i="18" s="1"/>
  <c r="B44" i="4"/>
  <c r="B11" i="4" s="1"/>
  <c r="D44" i="4"/>
  <c r="D57" i="4"/>
  <c r="D59" i="4" s="1"/>
  <c r="B57" i="4"/>
  <c r="B59" i="4" s="1"/>
  <c r="D72" i="4"/>
  <c r="D74" i="4" s="1"/>
  <c r="R39" i="18" s="1"/>
  <c r="B72" i="4"/>
  <c r="P38" i="18" s="1"/>
  <c r="R26" i="18"/>
  <c r="Q32" i="18"/>
  <c r="I20" i="3"/>
  <c r="W5" i="17" s="1"/>
  <c r="G20" i="3"/>
  <c r="U5" i="17" s="1"/>
  <c r="K14" i="3"/>
  <c r="Y4" i="17" s="1"/>
  <c r="E20" i="3"/>
  <c r="S5" i="17" s="1"/>
  <c r="K8" i="3"/>
  <c r="Y3" i="17" s="1"/>
  <c r="V4" i="16"/>
  <c r="G20" i="2"/>
  <c r="U13" i="16" s="1"/>
  <c r="F8" i="2"/>
  <c r="T3" i="16" s="1"/>
  <c r="E8" i="2"/>
  <c r="D8" i="2"/>
  <c r="C8" i="2"/>
  <c r="B8" i="2"/>
  <c r="B20" i="2" s="1"/>
  <c r="F79" i="1"/>
  <c r="Q119" i="15" s="1"/>
  <c r="Q106" i="15"/>
  <c r="F47" i="1"/>
  <c r="C47" i="1"/>
  <c r="Q42" i="15" s="1"/>
  <c r="Q4" i="15"/>
  <c r="E79" i="1"/>
  <c r="E47" i="1"/>
  <c r="P57" i="15"/>
  <c r="B47" i="1"/>
  <c r="F5" i="13"/>
  <c r="E5" i="12"/>
  <c r="F6" i="1"/>
  <c r="A2" i="10"/>
  <c r="A2" i="11"/>
  <c r="A2" i="12"/>
  <c r="A2" i="14"/>
  <c r="A2" i="8"/>
  <c r="A2" i="3"/>
  <c r="A2" i="4"/>
  <c r="A2" i="9"/>
  <c r="A2" i="7"/>
  <c r="A2" i="2"/>
  <c r="A2" i="6"/>
  <c r="A2" i="5"/>
  <c r="A2" i="1"/>
  <c r="J20" i="3"/>
  <c r="X5" i="17" s="1"/>
  <c r="S14" i="16"/>
  <c r="U4" i="17"/>
  <c r="C29" i="7"/>
  <c r="Q4" i="25" s="1"/>
  <c r="W3" i="17"/>
  <c r="R2" i="25"/>
  <c r="V3" i="17"/>
  <c r="S2" i="25"/>
  <c r="F29" i="7"/>
  <c r="T4" i="25" s="1"/>
  <c r="T34" i="20" l="1"/>
  <c r="F70" i="5"/>
  <c r="G9" i="6"/>
  <c r="U3" i="24"/>
  <c r="P42" i="15"/>
  <c r="P54" i="15"/>
  <c r="H20" i="2"/>
  <c r="V13" i="16" s="1"/>
  <c r="B70" i="5"/>
  <c r="B74" i="4"/>
  <c r="P39" i="18" s="1"/>
  <c r="F77" i="8"/>
  <c r="T68" i="26" s="1"/>
  <c r="P95" i="15"/>
  <c r="E59" i="1"/>
  <c r="E81" i="1" s="1"/>
  <c r="C33" i="9"/>
  <c r="Q24" i="27" s="1"/>
  <c r="E33" i="9"/>
  <c r="S24" i="27" s="1"/>
  <c r="G21" i="9"/>
  <c r="U13" i="27" s="1"/>
  <c r="U16" i="27"/>
  <c r="U2" i="27"/>
  <c r="S2" i="26"/>
  <c r="G9" i="8"/>
  <c r="G77" i="8" s="1"/>
  <c r="U68" i="26" s="1"/>
  <c r="R2" i="26"/>
  <c r="D77" i="8"/>
  <c r="R68" i="26" s="1"/>
  <c r="C77" i="8"/>
  <c r="Q68" i="26" s="1"/>
  <c r="Q2" i="26"/>
  <c r="U2" i="25"/>
  <c r="F159" i="6"/>
  <c r="T150" i="24" s="1"/>
  <c r="B159" i="6"/>
  <c r="P150" i="24" s="1"/>
  <c r="D159" i="6"/>
  <c r="R150" i="24" s="1"/>
  <c r="G84" i="6"/>
  <c r="U76" i="24" s="1"/>
  <c r="P2" i="24"/>
  <c r="R2" i="24"/>
  <c r="T2" i="24"/>
  <c r="Q2" i="24"/>
  <c r="C159" i="6"/>
  <c r="Q150" i="24" s="1"/>
  <c r="E159" i="6"/>
  <c r="S150" i="24" s="1"/>
  <c r="S2" i="24"/>
  <c r="G65" i="5"/>
  <c r="U56" i="20" s="1"/>
  <c r="G41" i="5"/>
  <c r="G42" i="5" s="1"/>
  <c r="U35" i="20" s="1"/>
  <c r="P34" i="20"/>
  <c r="S34" i="20"/>
  <c r="Q34" i="20"/>
  <c r="Q38" i="18"/>
  <c r="C11" i="4"/>
  <c r="P25" i="18"/>
  <c r="D11" i="4"/>
  <c r="R25" i="18"/>
  <c r="Q5" i="18"/>
  <c r="C8" i="4"/>
  <c r="C21" i="4" s="1"/>
  <c r="B8" i="4"/>
  <c r="P5" i="18"/>
  <c r="R38" i="18"/>
  <c r="K20" i="3"/>
  <c r="Y5" i="17" s="1"/>
  <c r="T13" i="16"/>
  <c r="E20" i="2"/>
  <c r="S13" i="16" s="1"/>
  <c r="S3" i="16"/>
  <c r="R3" i="16"/>
  <c r="D20" i="2"/>
  <c r="R13" i="16" s="1"/>
  <c r="C20" i="2"/>
  <c r="Q13" i="16" s="1"/>
  <c r="Q3" i="16"/>
  <c r="P13" i="16"/>
  <c r="P3" i="16"/>
  <c r="F59" i="1"/>
  <c r="Q95" i="15"/>
  <c r="C62" i="1"/>
  <c r="Q54" i="15" s="1"/>
  <c r="P119" i="15"/>
  <c r="G159" i="6" l="1"/>
  <c r="U150" i="24" s="1"/>
  <c r="U2" i="24"/>
  <c r="U34" i="20"/>
  <c r="G33" i="9"/>
  <c r="U24" i="27" s="1"/>
  <c r="U2" i="26"/>
  <c r="G70" i="5"/>
  <c r="D8" i="4"/>
  <c r="R5" i="18"/>
  <c r="Q2" i="18"/>
  <c r="P2" i="18"/>
  <c r="B21" i="4"/>
  <c r="P120" i="15"/>
  <c r="F81" i="1"/>
  <c r="Q120" i="15" s="1"/>
  <c r="Q104" i="15"/>
  <c r="P104" i="15"/>
  <c r="R2" i="18" l="1"/>
  <c r="D21" i="4"/>
  <c r="Q12" i="18"/>
  <c r="C23" i="4"/>
  <c r="B23" i="4"/>
  <c r="P12" i="18"/>
  <c r="D23" i="4" l="1"/>
  <c r="R12" i="18"/>
  <c r="C25" i="4"/>
  <c r="Q13" i="18"/>
  <c r="B25" i="4"/>
  <c r="P13" i="18"/>
  <c r="D25" i="4" l="1"/>
  <c r="D33" i="4" s="1"/>
  <c r="R13" i="18"/>
  <c r="Q18" i="18"/>
  <c r="Q14" i="18"/>
  <c r="P14" i="18"/>
  <c r="B33" i="4"/>
  <c r="P18" i="18" s="1"/>
  <c r="R18" i="18" l="1"/>
  <c r="R14" i="18"/>
</calcChain>
</file>

<file path=xl/sharedStrings.xml><?xml version="1.0" encoding="utf-8"?>
<sst xmlns="http://schemas.openxmlformats.org/spreadsheetml/2006/main" count="4243" uniqueCount="3308">
  <si>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</si>
  <si>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</si>
  <si>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</si>
  <si>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</si>
  <si>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</si>
  <si>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</si>
  <si>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</si>
  <si>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</si>
  <si>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</si>
  <si>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</si>
  <si>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</si>
  <si>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</si>
  <si>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</si>
  <si>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</si>
  <si>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</si>
  <si>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</si>
  <si>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</si>
  <si>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</si>
  <si>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</si>
  <si>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</si>
  <si>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</si>
  <si>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</si>
  <si>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</si>
  <si>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</si>
  <si>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</si>
  <si>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</si>
  <si>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</si>
  <si>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</si>
  <si>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</si>
  <si>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</si>
  <si>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</si>
  <si>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</si>
  <si>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</si>
  <si>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</si>
  <si>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</si>
  <si>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</si>
  <si>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</si>
  <si>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</si>
  <si>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</si>
  <si>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</si>
  <si>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</si>
  <si>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</si>
  <si>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</si>
  <si>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</si>
  <si>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</si>
  <si>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</si>
  <si>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</si>
  <si>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</si>
  <si>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</si>
  <si>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</si>
  <si>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</si>
  <si>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</si>
  <si>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</si>
  <si>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</si>
  <si>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</si>
  <si>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</si>
  <si>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</si>
  <si>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</si>
  <si>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</si>
  <si>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</si>
  <si>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</si>
  <si>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</si>
  <si>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</si>
  <si>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</si>
  <si>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</si>
  <si>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</si>
  <si>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</si>
  <si>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</si>
  <si>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</si>
  <si>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</si>
  <si>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</si>
  <si>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</si>
  <si>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</si>
  <si>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</si>
  <si>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</si>
  <si>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</si>
  <si>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</si>
  <si>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</si>
  <si>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</si>
  <si>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</si>
  <si>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</si>
  <si>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</si>
  <si>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</si>
  <si>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</si>
  <si>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</si>
  <si>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</si>
  <si>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</si>
  <si>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</si>
  <si>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</si>
  <si>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</si>
  <si>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</si>
  <si>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</si>
  <si>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</si>
  <si>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</si>
  <si>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</si>
  <si>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</si>
  <si>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</si>
  <si>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</si>
  <si>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</si>
  <si>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</si>
  <si>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</si>
  <si>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</si>
  <si>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</si>
  <si>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</si>
  <si>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</si>
  <si>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</si>
  <si>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</si>
  <si>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</si>
  <si>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</si>
  <si>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</si>
  <si>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</si>
  <si>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</si>
  <si>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</si>
  <si>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</si>
  <si>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</si>
  <si>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</si>
  <si>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</si>
  <si>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</si>
  <si>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</si>
  <si>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</si>
  <si>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</si>
  <si>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</si>
  <si>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</si>
  <si>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</si>
  <si>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</si>
  <si>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</si>
  <si>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</si>
  <si>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</si>
  <si>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</si>
  <si>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</si>
  <si>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</si>
  <si>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</si>
  <si>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</si>
  <si>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</si>
  <si>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</si>
  <si>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</si>
  <si>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</si>
  <si>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</si>
  <si>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</si>
  <si>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</si>
  <si>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</si>
  <si>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</si>
  <si>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</si>
  <si>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</si>
  <si>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</si>
  <si>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</si>
  <si>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</si>
  <si>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</si>
  <si>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</si>
  <si>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</si>
  <si>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</si>
  <si>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</si>
  <si>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</si>
  <si>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</si>
  <si>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</si>
  <si>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</si>
  <si>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</si>
  <si>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</si>
  <si>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</si>
  <si>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</si>
  <si>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</si>
  <si>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</si>
  <si>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</si>
  <si>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</si>
  <si>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</si>
  <si>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</si>
  <si>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</si>
  <si>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</si>
  <si>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</si>
  <si>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</si>
  <si>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</si>
  <si>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</si>
  <si>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</si>
  <si>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</si>
  <si>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</si>
  <si>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</si>
  <si>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</si>
  <si>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</si>
  <si>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</si>
  <si>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</si>
  <si>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</si>
  <si>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</si>
  <si>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</si>
  <si>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</si>
  <si>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</si>
  <si>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</si>
  <si>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</si>
  <si>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</si>
  <si>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</si>
  <si>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</si>
  <si>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</si>
  <si>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</si>
  <si>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</si>
  <si>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</si>
  <si>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</si>
  <si>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</si>
  <si>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</si>
  <si>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</si>
  <si>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</si>
  <si>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</si>
  <si>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</si>
  <si>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</si>
  <si>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</si>
  <si>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</si>
  <si>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</si>
  <si>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</si>
  <si>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</si>
  <si>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</si>
  <si>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</si>
  <si>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</si>
  <si>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</si>
  <si>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</si>
  <si>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</si>
  <si>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</si>
  <si>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</si>
  <si>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</si>
  <si>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</si>
  <si>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</si>
  <si>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</si>
  <si>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</si>
  <si>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</si>
  <si>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</si>
  <si>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</si>
  <si>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</si>
  <si>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</si>
  <si>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</si>
  <si>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</si>
  <si>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</si>
  <si>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</si>
  <si>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</si>
  <si>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</si>
  <si>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</si>
  <si>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</si>
  <si>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</si>
  <si>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</si>
  <si>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</si>
  <si>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</si>
  <si>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</si>
  <si>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</si>
  <si>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</si>
  <si>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</si>
  <si>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</si>
  <si>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</si>
  <si>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</si>
  <si>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</si>
  <si>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</si>
  <si>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</si>
  <si>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</si>
  <si>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</si>
  <si>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</si>
  <si>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</si>
  <si>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</si>
  <si>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</si>
  <si>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</si>
  <si>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</si>
  <si>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</si>
  <si>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</si>
  <si>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</si>
  <si>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</si>
  <si>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</si>
  <si>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</si>
  <si>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</si>
  <si>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</si>
  <si>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</si>
  <si>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</si>
  <si>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</si>
  <si>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</si>
  <si>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</si>
  <si>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</si>
  <si>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</si>
  <si>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</si>
  <si>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</si>
  <si>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</si>
  <si>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</si>
  <si>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</si>
  <si>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</si>
  <si>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</si>
  <si>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</si>
  <si>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</si>
  <si>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</si>
  <si>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</si>
  <si>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</si>
  <si>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</si>
  <si>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</si>
  <si>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</si>
  <si>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</si>
  <si>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</si>
  <si>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</si>
  <si>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</si>
  <si>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</si>
  <si>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</si>
  <si>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</si>
  <si>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</si>
  <si>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</si>
  <si>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</si>
  <si>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</si>
  <si>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</si>
  <si>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</si>
  <si>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</si>
  <si>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</si>
  <si>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</si>
  <si>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</si>
  <si>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</si>
  <si>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</si>
  <si>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</si>
  <si>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</si>
  <si>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</si>
  <si>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</si>
  <si>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</si>
  <si>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</si>
  <si>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</si>
  <si>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</si>
  <si>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</si>
  <si>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</si>
  <si>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</si>
  <si>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</si>
  <si>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</si>
  <si>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</si>
  <si>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</si>
  <si>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</si>
  <si>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</si>
  <si>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</si>
  <si>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</si>
  <si>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</si>
  <si>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</si>
  <si>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</si>
  <si>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</si>
  <si>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</si>
  <si>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</si>
  <si>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</si>
  <si>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</si>
  <si>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</si>
  <si>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</si>
  <si>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</si>
  <si>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</si>
  <si>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</si>
  <si>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</si>
  <si>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</si>
  <si>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</si>
  <si>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</si>
  <si>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</si>
  <si>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</si>
  <si>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</si>
  <si>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</si>
  <si>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</si>
  <si>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</si>
  <si>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</si>
  <si>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</si>
  <si>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</si>
  <si>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</si>
  <si>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</si>
  <si>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</si>
  <si>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</si>
  <si>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</si>
  <si>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</si>
  <si>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</si>
  <si>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</si>
  <si>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</si>
  <si>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</si>
  <si>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</si>
  <si>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</si>
  <si>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</si>
  <si>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</si>
  <si>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</si>
  <si>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</si>
  <si>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</si>
  <si>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</si>
  <si>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</si>
  <si>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</si>
  <si>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</si>
  <si>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</si>
  <si>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</si>
  <si>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</si>
  <si>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</si>
  <si>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</si>
  <si>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</si>
  <si>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</si>
  <si>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</si>
  <si>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</si>
  <si>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</si>
  <si>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</si>
  <si>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</si>
  <si>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</si>
  <si>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</si>
  <si>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</si>
  <si>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</si>
  <si>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</si>
  <si>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</si>
  <si>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</si>
  <si>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</si>
  <si>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</si>
  <si>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</si>
  <si>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</si>
  <si>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</si>
  <si>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</si>
  <si>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</si>
  <si>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</si>
  <si>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</si>
  <si>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</si>
  <si>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</si>
  <si>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</si>
  <si>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</si>
  <si>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</si>
  <si>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</si>
  <si>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</si>
  <si>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</si>
  <si>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</si>
  <si>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</si>
  <si>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</si>
  <si>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</si>
  <si>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</si>
  <si>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</si>
  <si>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</si>
  <si>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</si>
  <si>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</si>
  <si>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</si>
  <si>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</si>
  <si>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</si>
  <si>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</si>
  <si>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</si>
  <si>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</si>
  <si>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</si>
  <si>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</si>
  <si>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</si>
  <si>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</si>
  <si>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</si>
  <si>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</si>
  <si>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</si>
  <si>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</si>
  <si>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</si>
  <si>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</si>
  <si>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</si>
  <si>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</si>
  <si>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</si>
  <si>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</si>
  <si>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</si>
  <si>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</si>
  <si>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</si>
  <si>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</si>
  <si>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</si>
  <si>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</si>
  <si>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</si>
  <si>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</si>
  <si>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</si>
  <si>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</si>
  <si>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</si>
  <si>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</si>
  <si>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</si>
  <si>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</si>
  <si>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</si>
  <si>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</si>
  <si>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</si>
  <si>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</si>
  <si>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</si>
  <si>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</si>
  <si>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</si>
  <si>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</si>
  <si>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</si>
  <si>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</si>
  <si>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</si>
  <si>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</si>
  <si>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</si>
  <si>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</si>
  <si>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</si>
  <si>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</si>
  <si>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</si>
  <si>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</si>
  <si>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</si>
  <si>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</si>
  <si>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</si>
  <si>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</si>
  <si>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</si>
  <si>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</si>
  <si>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</si>
  <si>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</si>
  <si>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</si>
  <si>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</si>
  <si>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</si>
  <si>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</si>
  <si>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</si>
  <si>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</si>
  <si>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</si>
  <si>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</si>
  <si>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</si>
  <si>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</si>
  <si>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</si>
  <si>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</si>
  <si>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</si>
  <si>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</si>
  <si>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</si>
  <si>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</si>
  <si>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</si>
  <si>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</si>
  <si>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</si>
  <si>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</si>
  <si>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</si>
  <si>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</si>
  <si>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</si>
  <si>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</si>
  <si>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</si>
  <si>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</si>
  <si>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</si>
  <si>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</si>
  <si>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</si>
  <si>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</si>
  <si>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</si>
  <si>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</si>
  <si>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</si>
  <si>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</si>
  <si>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</si>
  <si>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</si>
  <si>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</si>
  <si>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</si>
  <si>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</si>
  <si>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</si>
  <si>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</si>
  <si>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</si>
  <si>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</si>
  <si>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</si>
  <si>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</si>
  <si>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</si>
  <si>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</si>
  <si>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</si>
  <si>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</si>
  <si>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</si>
  <si>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</si>
  <si>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</si>
  <si>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</si>
  <si>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</si>
  <si>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</si>
  <si>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</si>
  <si>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</si>
  <si>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</si>
  <si>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</si>
  <si>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</si>
  <si>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</si>
  <si>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</si>
  <si>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</si>
  <si>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</si>
  <si>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</si>
  <si>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</si>
  <si>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</si>
  <si>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</si>
  <si>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</si>
  <si>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</si>
  <si>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</si>
  <si>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</si>
  <si>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</si>
  <si>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</si>
  <si>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</si>
  <si>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</si>
  <si>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</si>
  <si>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</si>
  <si>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</si>
  <si>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</si>
  <si>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</si>
  <si>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</si>
  <si>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</si>
  <si>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</si>
  <si>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</si>
  <si>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</si>
  <si>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</si>
  <si>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</si>
  <si>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</si>
  <si>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</si>
  <si>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</si>
  <si>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</si>
  <si>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</si>
  <si>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</si>
  <si>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</si>
  <si>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</si>
  <si>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</si>
  <si>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</si>
  <si>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</si>
  <si>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</si>
  <si>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</si>
  <si>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</si>
  <si>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</si>
  <si>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</si>
  <si>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</si>
  <si>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</si>
  <si>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</si>
  <si>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</si>
  <si>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</si>
  <si>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</si>
  <si>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</si>
  <si>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</si>
  <si>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</si>
  <si>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</si>
  <si>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</si>
  <si>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</si>
  <si>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</si>
  <si>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</si>
  <si>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</si>
  <si>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</si>
  <si>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</si>
  <si>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</si>
  <si>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</si>
  <si>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</si>
  <si>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</si>
  <si>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</si>
  <si>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</si>
  <si>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</si>
  <si>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</si>
  <si>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</si>
  <si>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</si>
  <si>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</si>
  <si>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</si>
  <si>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</si>
  <si>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</si>
  <si>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</si>
  <si>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</si>
  <si>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</si>
  <si>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</si>
  <si>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</si>
  <si>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</si>
  <si>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</si>
  <si>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</si>
  <si>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</si>
  <si>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</si>
  <si>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</si>
  <si>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</si>
  <si>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</si>
  <si>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</si>
  <si>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</si>
  <si>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</si>
  <si>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</si>
  <si>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</si>
  <si>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</si>
  <si>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</si>
  <si>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</si>
  <si>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</si>
  <si>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</si>
  <si>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</si>
  <si>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</si>
  <si>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</si>
  <si>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</si>
  <si>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</si>
  <si>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</si>
  <si>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</si>
  <si>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</si>
  <si>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</si>
  <si>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</si>
  <si>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</si>
  <si>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</si>
  <si>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</si>
  <si>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</si>
  <si>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</si>
  <si>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</si>
  <si>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</si>
  <si>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</si>
  <si>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</si>
  <si>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</si>
  <si>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</si>
  <si>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</si>
  <si>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</si>
  <si>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</si>
  <si>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</si>
  <si>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</si>
  <si>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</si>
  <si>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</si>
  <si>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</si>
  <si>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</si>
  <si>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</si>
  <si>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</si>
  <si>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</si>
  <si>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</si>
  <si>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</si>
  <si>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</si>
  <si>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</si>
  <si>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</si>
  <si>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</si>
  <si>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</si>
  <si>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</si>
  <si>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</si>
  <si>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</si>
  <si>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</si>
  <si>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</si>
  <si>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</si>
  <si>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</si>
  <si>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</si>
  <si>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</si>
  <si>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</si>
  <si>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</si>
  <si>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</si>
  <si>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</si>
  <si>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</si>
  <si>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</si>
  <si>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</si>
  <si>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</si>
  <si>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</si>
  <si>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</si>
  <si>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</si>
  <si>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</si>
  <si>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</si>
  <si>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</si>
  <si>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</si>
  <si>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</si>
  <si>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</si>
  <si>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</si>
  <si>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</si>
  <si>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</si>
  <si>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</si>
  <si>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</si>
  <si>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</si>
  <si>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</si>
  <si>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</si>
  <si>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</si>
  <si>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</si>
  <si>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</si>
  <si>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</si>
  <si>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</si>
  <si>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</si>
  <si>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</si>
  <si>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</si>
  <si>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</si>
  <si>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</si>
  <si>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</si>
  <si>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</si>
  <si>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</si>
  <si>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</si>
  <si>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</si>
  <si>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</si>
  <si>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</si>
  <si>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</si>
  <si>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</si>
  <si>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</si>
  <si>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</si>
  <si>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</si>
  <si>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</si>
  <si>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</si>
  <si>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</si>
  <si>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</si>
  <si>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</si>
  <si>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</si>
  <si>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</si>
  <si>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</si>
  <si>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</si>
  <si>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</si>
  <si>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</si>
  <si>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</si>
  <si>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</si>
  <si>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</si>
  <si>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</si>
  <si>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</si>
  <si>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</si>
  <si>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</si>
  <si>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</si>
  <si>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</si>
  <si>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</si>
  <si>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</si>
  <si>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</si>
  <si>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</si>
  <si>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</si>
  <si>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</si>
  <si>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</si>
  <si>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</si>
  <si>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</si>
  <si>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</si>
  <si>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</si>
  <si>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</si>
  <si>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</si>
  <si>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</si>
  <si>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</si>
  <si>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</si>
  <si>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</si>
  <si>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</si>
  <si>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</si>
  <si>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</si>
  <si>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</si>
  <si>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</si>
  <si>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</si>
  <si>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</si>
  <si>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</si>
  <si>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</si>
  <si>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</si>
  <si>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</si>
  <si>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</si>
  <si>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</si>
  <si>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</si>
  <si>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</si>
  <si>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</si>
  <si>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</si>
  <si>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</si>
  <si>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</si>
  <si>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</si>
  <si>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</si>
  <si>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</si>
  <si>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</si>
  <si>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</si>
  <si>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</si>
  <si>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</si>
  <si>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</si>
  <si>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</si>
  <si>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</si>
  <si>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</si>
  <si>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</si>
  <si>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</si>
  <si>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</si>
  <si>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</si>
  <si>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</si>
  <si>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</si>
  <si>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</si>
  <si>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</si>
  <si>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</si>
  <si>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</si>
  <si>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</si>
  <si>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</si>
  <si>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</si>
  <si>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</si>
  <si>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</si>
  <si>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</si>
  <si>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</si>
  <si>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</si>
  <si>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</si>
  <si>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</si>
  <si>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</si>
  <si>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</si>
  <si>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</si>
  <si>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</si>
  <si>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</si>
  <si>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</si>
  <si>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</si>
  <si>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</si>
  <si>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</si>
  <si>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</si>
  <si>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</si>
  <si>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</si>
  <si>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</si>
  <si>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</si>
  <si>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</si>
  <si>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</si>
  <si>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</si>
  <si>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</si>
  <si>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</si>
  <si>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</si>
  <si>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</si>
  <si>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</si>
  <si>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</si>
  <si>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</si>
  <si>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</si>
  <si>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</si>
  <si>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</si>
  <si>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</si>
  <si>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</si>
  <si>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</si>
  <si>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</si>
  <si>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</si>
  <si>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</si>
  <si>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</si>
  <si>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</si>
  <si>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</si>
  <si>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</si>
  <si>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</si>
  <si>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</si>
  <si>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</si>
  <si>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</si>
  <si>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</si>
  <si>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</si>
  <si>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</si>
  <si>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</si>
  <si>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</si>
  <si>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</si>
  <si>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</si>
  <si>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</si>
  <si>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</si>
  <si>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</si>
  <si>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</si>
  <si>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</si>
  <si>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</si>
  <si>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</si>
  <si>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</si>
  <si>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</si>
  <si>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</si>
  <si>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</si>
  <si>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</si>
  <si>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</si>
  <si>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</si>
  <si>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</si>
  <si>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</si>
  <si>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</si>
  <si>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</si>
  <si>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</si>
  <si>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</si>
  <si>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</si>
  <si>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</si>
  <si>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</si>
  <si>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</si>
  <si>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</si>
  <si>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</si>
  <si>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</si>
  <si>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</si>
  <si>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</si>
  <si>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</si>
  <si>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</si>
  <si>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</si>
  <si>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</si>
  <si>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</si>
  <si>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</si>
  <si>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</si>
  <si>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</si>
  <si>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</si>
  <si>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</si>
  <si>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</si>
  <si>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</si>
  <si>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</si>
  <si>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</si>
  <si>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</si>
  <si>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</si>
  <si>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</si>
  <si>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</si>
  <si>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</si>
  <si>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</si>
  <si>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</si>
  <si>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</si>
  <si>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</si>
  <si>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</si>
  <si>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</si>
  <si>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</si>
  <si>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</si>
  <si>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</si>
  <si>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</si>
  <si>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</si>
  <si>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</si>
  <si>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</si>
  <si>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</si>
  <si>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</si>
  <si>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</si>
  <si>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</si>
  <si>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</si>
  <si>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</si>
  <si>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</si>
  <si>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</si>
  <si>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</si>
  <si>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</si>
  <si>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</si>
  <si>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</si>
  <si>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</si>
  <si>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</si>
  <si>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</si>
  <si>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</si>
  <si>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</si>
  <si>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</si>
  <si>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</si>
  <si>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</si>
  <si>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</si>
  <si>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</si>
  <si>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</si>
  <si>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</si>
  <si>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</si>
  <si>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</si>
  <si>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</si>
  <si>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</si>
  <si>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</si>
  <si>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</si>
  <si>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</si>
  <si>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</si>
  <si>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</si>
  <si>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</si>
  <si>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</si>
  <si>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</si>
  <si>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</si>
  <si>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</si>
  <si>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</si>
  <si>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</si>
  <si>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</si>
  <si>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</si>
  <si>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</si>
  <si>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</si>
  <si>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</si>
  <si>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</si>
  <si>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</si>
  <si>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</si>
  <si>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</si>
  <si>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</si>
  <si>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</si>
  <si>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</si>
  <si>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</si>
  <si>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</si>
  <si>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</si>
  <si>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</si>
  <si>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</si>
  <si>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</si>
  <si>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</si>
  <si>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</si>
  <si>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</si>
  <si>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</si>
  <si>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</si>
  <si>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</si>
  <si>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</si>
  <si>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</si>
  <si>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</si>
  <si>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</si>
  <si>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</si>
  <si>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</si>
  <si>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</si>
  <si>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</si>
  <si>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</si>
  <si>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</si>
  <si>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</si>
  <si>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</si>
  <si>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</si>
  <si>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</si>
  <si>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</si>
  <si>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</si>
  <si>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</si>
  <si>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</si>
  <si>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</si>
  <si>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</si>
  <si>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</si>
  <si>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</si>
  <si>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</si>
  <si>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</si>
  <si>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</si>
  <si>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</si>
  <si>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</si>
  <si>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</si>
  <si>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</si>
  <si>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</si>
  <si>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</si>
  <si>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</si>
  <si>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</si>
  <si>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</si>
  <si>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</si>
  <si>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</si>
  <si>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</si>
  <si>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</si>
  <si>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</si>
  <si>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</si>
  <si>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</si>
  <si>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</si>
  <si>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</si>
  <si>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</si>
  <si>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</si>
  <si>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</si>
  <si>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</si>
  <si>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</si>
  <si>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</si>
  <si>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</si>
  <si>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</si>
  <si>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</si>
  <si>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</si>
  <si>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</si>
  <si>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</si>
  <si>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</si>
  <si>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</si>
  <si>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</si>
  <si>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</si>
  <si>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</si>
  <si>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</si>
  <si>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</si>
  <si>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</si>
  <si>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</si>
  <si>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</si>
  <si>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</si>
  <si>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</si>
  <si>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</si>
  <si>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</si>
  <si>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</si>
  <si>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</si>
  <si>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</si>
  <si>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</si>
  <si>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</si>
  <si>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</si>
  <si>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</si>
  <si>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</si>
  <si>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</si>
  <si>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</si>
  <si>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</si>
  <si>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</si>
  <si>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</si>
  <si>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</si>
  <si>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</si>
  <si>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</si>
  <si>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</si>
  <si>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</si>
  <si>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</si>
  <si>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</si>
  <si>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</si>
  <si>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</si>
  <si>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</si>
  <si>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</si>
  <si>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</si>
  <si>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</si>
  <si>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</si>
  <si>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</si>
  <si>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</si>
  <si>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</si>
  <si>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</si>
  <si>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</si>
  <si>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</si>
  <si>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</si>
  <si>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</si>
  <si>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</si>
  <si>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</si>
  <si>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</si>
  <si>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</si>
  <si>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</si>
  <si>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</si>
  <si>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</si>
  <si>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</si>
  <si>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</si>
  <si>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</si>
  <si>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</si>
  <si>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</si>
  <si>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</si>
  <si>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</si>
  <si>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</si>
  <si>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</si>
  <si>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</si>
  <si>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</si>
  <si>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</si>
  <si>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</si>
  <si>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</si>
  <si>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</si>
  <si>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</si>
  <si>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</si>
  <si>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</si>
  <si>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</si>
  <si>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</si>
  <si>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</si>
  <si>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</si>
  <si>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</si>
  <si>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</si>
  <si>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</si>
  <si>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</si>
  <si>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</si>
  <si>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</si>
  <si>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</si>
  <si>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</si>
  <si>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</si>
  <si>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</si>
  <si>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</si>
  <si>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</si>
  <si>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</si>
  <si>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</si>
  <si>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</si>
  <si>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</si>
  <si>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</si>
  <si>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</si>
  <si>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</si>
  <si>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</si>
  <si>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</si>
  <si>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</si>
  <si>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</si>
  <si>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</si>
  <si>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</si>
  <si>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</si>
  <si>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</si>
  <si>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</si>
  <si>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</si>
  <si>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</si>
  <si>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</si>
  <si>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</si>
  <si>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</si>
  <si>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</si>
  <si>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</si>
  <si>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</si>
  <si>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</si>
  <si>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</si>
  <si>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</si>
  <si>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</si>
  <si>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</si>
  <si>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</si>
  <si>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</si>
  <si>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</si>
  <si>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</si>
  <si>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</si>
  <si>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</si>
  <si>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</si>
  <si>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</si>
  <si>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</si>
  <si>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</si>
  <si>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</si>
  <si>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</si>
  <si>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</si>
  <si>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</si>
  <si>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</si>
  <si>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</si>
  <si>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</si>
  <si>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</si>
  <si>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</si>
  <si>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</si>
  <si>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</si>
  <si>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</si>
  <si>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</si>
  <si>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</si>
  <si>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</si>
  <si>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</si>
  <si>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</si>
  <si>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</si>
  <si>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</si>
  <si>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</si>
  <si>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</si>
  <si>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</si>
  <si>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</si>
  <si>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</si>
  <si>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</si>
  <si>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</si>
  <si>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</si>
  <si>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</si>
  <si>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</si>
  <si>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</si>
  <si>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</si>
  <si>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</si>
  <si>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</si>
  <si>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</si>
  <si>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</si>
  <si>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</si>
  <si>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</si>
  <si>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</si>
  <si>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</si>
  <si>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</si>
  <si>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</si>
  <si>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</si>
  <si>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</si>
  <si>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</si>
  <si>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</si>
  <si>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</si>
  <si>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</si>
  <si>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</si>
  <si>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</si>
  <si>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</si>
  <si>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</si>
  <si>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</si>
  <si>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</si>
  <si>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</si>
  <si>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</si>
  <si>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</si>
  <si>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</si>
  <si>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</si>
  <si>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</si>
  <si>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</si>
  <si>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</si>
  <si>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</si>
  <si>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</si>
  <si>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</si>
  <si>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</si>
  <si>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</si>
  <si>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</si>
  <si>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</si>
  <si>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</si>
  <si>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</si>
  <si>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</si>
  <si>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</si>
  <si>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</si>
  <si>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</si>
  <si>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</si>
  <si>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</si>
  <si>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</si>
  <si>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</si>
  <si>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</si>
  <si>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</si>
  <si>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</si>
  <si>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</si>
  <si>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</si>
  <si>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</si>
  <si>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</si>
  <si>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</si>
  <si>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</si>
  <si>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</si>
  <si>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</si>
  <si>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</si>
  <si>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</si>
  <si>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</si>
  <si>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</si>
  <si>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</si>
  <si>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</si>
  <si>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</si>
  <si>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</si>
  <si>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</si>
  <si>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</si>
  <si>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</si>
  <si>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</si>
  <si>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</si>
  <si>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</si>
  <si>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</si>
  <si>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</si>
  <si>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</si>
  <si>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</si>
  <si>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</si>
  <si>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</si>
  <si>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</si>
  <si>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</si>
  <si>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</si>
  <si>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</si>
  <si>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</si>
  <si>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</si>
  <si>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</si>
  <si>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</si>
  <si>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</si>
  <si>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</si>
  <si>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</si>
  <si>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</si>
  <si>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</si>
  <si>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</si>
  <si>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</si>
  <si>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</si>
  <si>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</si>
  <si>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</si>
  <si>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</si>
  <si>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</si>
  <si>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</si>
  <si>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</si>
  <si>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</si>
  <si>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</si>
  <si>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</si>
  <si>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</si>
  <si>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</si>
  <si>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</si>
  <si>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</si>
  <si>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</si>
  <si>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</si>
  <si>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</si>
  <si>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</si>
  <si>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</si>
  <si>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</si>
  <si>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</si>
  <si>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</si>
  <si>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</si>
  <si>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</si>
  <si>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</si>
  <si>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</si>
  <si>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</si>
  <si>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</si>
  <si>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</si>
  <si>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</si>
  <si>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</si>
  <si>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</si>
  <si>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</si>
  <si>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</si>
  <si>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</si>
  <si>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</si>
  <si>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</si>
  <si>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</si>
  <si>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</si>
  <si>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</si>
  <si>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</si>
  <si>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</si>
  <si>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</si>
  <si>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</si>
  <si>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</si>
  <si>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</si>
  <si>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</si>
  <si>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</si>
  <si>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</si>
  <si>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</si>
  <si>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</si>
  <si>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</si>
  <si>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</si>
  <si>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</si>
  <si>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</si>
  <si>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</si>
  <si>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</si>
  <si>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</si>
  <si>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</si>
  <si>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</si>
  <si>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</si>
  <si>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</si>
  <si>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</si>
  <si>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</si>
  <si>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</si>
  <si>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</si>
  <si>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</si>
  <si>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</si>
  <si>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</si>
  <si>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</si>
  <si>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</si>
  <si>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</si>
  <si>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</si>
  <si>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</si>
  <si>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</si>
  <si>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</si>
  <si>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</si>
  <si>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</si>
  <si>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</si>
  <si>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</si>
  <si>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</si>
  <si>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</si>
  <si>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</si>
  <si>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</si>
  <si>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</si>
  <si>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</si>
  <si>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</si>
  <si>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</si>
  <si>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</si>
  <si>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</si>
  <si>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</si>
  <si>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</si>
  <si>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</si>
  <si>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</si>
  <si>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</si>
  <si>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</si>
  <si>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</si>
  <si>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</si>
  <si>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</si>
  <si>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</si>
  <si>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</si>
  <si>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</si>
  <si>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</si>
  <si>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</si>
  <si>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</si>
  <si>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</si>
  <si>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</si>
  <si>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</si>
  <si>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</si>
  <si>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</si>
  <si>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</si>
  <si>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</si>
  <si>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</si>
  <si>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</si>
  <si>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</si>
  <si>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</si>
  <si>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</si>
  <si>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</si>
  <si>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</si>
  <si>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</si>
  <si>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</si>
  <si>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</si>
  <si>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</si>
  <si>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</si>
  <si>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</si>
  <si>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</si>
  <si>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</si>
  <si>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</si>
  <si>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</si>
  <si>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</si>
  <si>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</si>
  <si>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</si>
  <si>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</si>
  <si>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</si>
  <si>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</si>
  <si>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</si>
  <si>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</si>
  <si>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</si>
  <si>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</si>
  <si>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</si>
  <si>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</si>
  <si>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</si>
  <si>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</si>
  <si>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</si>
  <si>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</si>
  <si>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</si>
  <si>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</si>
  <si>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</si>
  <si>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</si>
  <si>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</si>
  <si>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</si>
  <si>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</si>
  <si>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</si>
  <si>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</si>
  <si>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</si>
  <si>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</si>
  <si>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</si>
  <si>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</si>
  <si>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</si>
  <si>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</si>
  <si>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</si>
  <si>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</si>
  <si>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</si>
  <si>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</si>
  <si>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</si>
  <si>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</si>
  <si>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</si>
  <si>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</si>
  <si>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</si>
  <si>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</si>
  <si>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</si>
  <si>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</si>
  <si>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</si>
  <si>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</si>
  <si>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</si>
  <si>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</si>
  <si>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</si>
  <si>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</si>
  <si>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</si>
  <si>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</si>
  <si>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</si>
  <si>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</si>
  <si>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</si>
  <si>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</si>
  <si>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</si>
  <si>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</si>
  <si>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</si>
  <si>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</si>
  <si>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</si>
  <si>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</si>
  <si>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</si>
  <si>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</si>
  <si>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</si>
  <si>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</si>
  <si>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</si>
  <si>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</si>
  <si>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</si>
  <si>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</si>
  <si>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</si>
  <si>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</si>
  <si>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</si>
  <si>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</si>
  <si>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</si>
  <si>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</si>
  <si>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</si>
  <si>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</si>
  <si>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</si>
  <si>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</si>
  <si>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</si>
  <si>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</si>
  <si>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</si>
  <si>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</si>
  <si>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</si>
  <si>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</si>
  <si>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</si>
  <si>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</si>
  <si>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</si>
  <si>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</si>
  <si>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</si>
  <si>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</si>
  <si>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</si>
  <si>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</si>
  <si>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</si>
  <si>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</si>
  <si>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</si>
  <si>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</si>
  <si>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</si>
  <si>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</si>
  <si>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</si>
  <si>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</si>
  <si>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</si>
  <si>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</si>
  <si>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</si>
  <si>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</si>
  <si>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</si>
  <si>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</si>
  <si>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</si>
  <si>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</si>
  <si>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</si>
  <si>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</si>
  <si>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</si>
  <si>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</si>
  <si>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</si>
  <si>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</si>
  <si>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</si>
  <si>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</si>
  <si>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</si>
  <si>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</si>
  <si>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</si>
  <si>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</si>
  <si>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</si>
  <si>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</si>
  <si>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</si>
  <si>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</si>
  <si>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</si>
  <si>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</si>
  <si>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</si>
  <si>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</si>
  <si>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</si>
  <si>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</si>
  <si>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</si>
  <si>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</si>
  <si>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</si>
  <si>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</si>
  <si>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</si>
  <si>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</si>
  <si>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</si>
  <si>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</si>
  <si>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</si>
  <si>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</si>
  <si>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</si>
  <si>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</si>
  <si>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</si>
  <si>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</si>
  <si>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</si>
  <si>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</si>
  <si>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</si>
  <si>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</si>
  <si>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</si>
  <si>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</si>
  <si>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</si>
  <si>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</si>
  <si>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</si>
  <si>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</si>
  <si>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</si>
  <si>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</si>
  <si>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</si>
  <si>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</si>
  <si>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</si>
  <si>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</si>
  <si>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</si>
  <si>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</si>
  <si>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</si>
  <si>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</si>
  <si>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</si>
  <si>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</si>
  <si>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</si>
  <si>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</si>
  <si>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</si>
  <si>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</si>
  <si>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</si>
  <si>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</si>
  <si>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</si>
  <si>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</si>
  <si>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</si>
  <si>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</si>
  <si>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</si>
  <si>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</si>
  <si>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</si>
  <si>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</si>
  <si>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</si>
  <si>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</si>
  <si>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</si>
  <si>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</si>
  <si>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</si>
  <si>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</si>
  <si>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</si>
  <si>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</si>
  <si>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</si>
  <si>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</si>
  <si>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</si>
  <si>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</si>
  <si>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</si>
  <si>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</si>
  <si>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</si>
  <si>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</si>
  <si>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</si>
  <si>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</si>
  <si>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</si>
  <si>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</si>
  <si>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</si>
  <si>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</si>
  <si>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</si>
  <si>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</si>
  <si>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</si>
  <si>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</si>
  <si>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</si>
  <si>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</si>
  <si>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</si>
  <si>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</si>
  <si>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</si>
  <si>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</si>
  <si>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</si>
  <si>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</si>
  <si>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</si>
  <si>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</si>
  <si>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</si>
  <si>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</si>
  <si>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</si>
  <si>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</si>
  <si>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</si>
  <si>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</si>
  <si>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</si>
  <si>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</si>
  <si>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</si>
  <si>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</si>
  <si>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</si>
  <si>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</si>
  <si>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</si>
  <si>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</si>
  <si>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</si>
  <si>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</si>
  <si>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</si>
  <si>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</si>
  <si>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</si>
  <si>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</si>
  <si>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</si>
  <si>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</si>
  <si>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</si>
  <si>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</si>
  <si>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</si>
  <si>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</si>
  <si>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</si>
  <si>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</si>
  <si>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</si>
  <si>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</si>
  <si>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</si>
  <si>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</si>
  <si>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</si>
  <si>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</si>
  <si>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</si>
  <si>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</si>
  <si>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</si>
  <si>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</si>
  <si>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</si>
  <si>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</si>
  <si>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</si>
  <si>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</si>
  <si>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</si>
  <si>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</si>
  <si>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</si>
  <si>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</si>
  <si>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</si>
  <si>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</si>
  <si>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</si>
  <si>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</si>
  <si>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</si>
  <si>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</si>
  <si>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</si>
  <si>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</si>
  <si>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</si>
  <si>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</si>
  <si>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</si>
  <si>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</si>
  <si>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</si>
  <si>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</si>
  <si>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</si>
  <si>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</si>
  <si>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</si>
  <si>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</si>
  <si>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</si>
  <si>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</si>
  <si>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</si>
  <si>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</si>
  <si>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</si>
  <si>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</si>
  <si>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</si>
  <si>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</si>
  <si>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</si>
  <si>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</si>
  <si>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</si>
  <si>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</si>
  <si>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</si>
  <si>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</si>
  <si>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</si>
  <si>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</si>
  <si>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</si>
  <si>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</si>
  <si>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</si>
  <si>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</si>
  <si>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</si>
  <si>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</si>
  <si>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</si>
  <si>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</si>
  <si>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</si>
  <si>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</si>
  <si>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</si>
  <si>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</si>
  <si>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</si>
  <si>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</si>
  <si>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</si>
  <si>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</si>
  <si>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</si>
  <si>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</si>
  <si>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</si>
  <si>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</si>
  <si>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</si>
  <si>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</si>
  <si>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</si>
  <si>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</si>
  <si>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</si>
  <si>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</si>
  <si>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</si>
  <si>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</si>
  <si>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</si>
  <si>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</si>
  <si>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</si>
  <si>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</si>
  <si>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</si>
  <si>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</si>
  <si>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</si>
  <si>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</si>
  <si>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</si>
  <si>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</si>
  <si>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</si>
  <si>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</si>
  <si>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</si>
  <si>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</si>
  <si>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</si>
  <si>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</si>
  <si>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</si>
  <si>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</si>
  <si>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</si>
  <si>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</si>
  <si>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</si>
  <si>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</si>
  <si>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</si>
  <si>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</si>
  <si>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</si>
  <si>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</si>
  <si>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</si>
  <si>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</si>
  <si>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</si>
  <si>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</si>
  <si>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</si>
  <si>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</si>
  <si>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</si>
  <si>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</si>
  <si>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</si>
  <si>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</si>
  <si>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</si>
  <si>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</si>
  <si>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</si>
  <si>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</si>
  <si>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</si>
  <si>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</si>
  <si>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</si>
  <si>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</si>
  <si>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</si>
  <si>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</si>
  <si>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</si>
  <si>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</si>
  <si>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</si>
  <si>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</si>
  <si>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</si>
  <si>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</si>
  <si>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</si>
  <si>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</si>
  <si>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</si>
  <si>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</si>
  <si>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</si>
  <si>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</si>
  <si>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</si>
  <si>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</si>
  <si>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</si>
  <si>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</si>
  <si>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</si>
  <si>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</si>
  <si>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</si>
  <si>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</si>
  <si>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</si>
  <si>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</si>
  <si>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</si>
  <si>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</si>
  <si>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</si>
  <si>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</si>
  <si>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</si>
  <si>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</si>
  <si>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</si>
  <si>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</si>
  <si>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</si>
  <si>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</si>
  <si>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</si>
  <si>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</si>
  <si>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</si>
  <si>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</si>
  <si>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</si>
  <si>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</si>
  <si>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</si>
  <si>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</si>
  <si>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</si>
  <si>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</si>
  <si>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</si>
  <si>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</si>
  <si>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</si>
  <si>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</si>
  <si>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</si>
  <si>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</si>
  <si>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</si>
  <si>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</si>
  <si>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</si>
  <si>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</si>
  <si>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</si>
  <si>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</si>
  <si>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</si>
  <si>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</si>
  <si>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</si>
  <si>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</si>
  <si>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</si>
  <si>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</si>
  <si>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</si>
  <si>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</si>
  <si>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</si>
  <si>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</si>
  <si>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</si>
  <si>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</si>
  <si>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</si>
  <si>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</si>
  <si>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</si>
  <si>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</si>
  <si>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</si>
  <si>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</si>
  <si>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</si>
  <si>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</si>
  <si>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</si>
  <si>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</si>
  <si>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</si>
  <si>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</si>
  <si>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</si>
  <si>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</si>
  <si>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</si>
  <si>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</si>
  <si>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</si>
  <si>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</si>
  <si>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</si>
  <si>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</si>
  <si>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</si>
  <si>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</si>
  <si>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</si>
  <si>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</si>
  <si>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</si>
  <si>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</si>
  <si>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</si>
  <si>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</si>
  <si>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</si>
  <si>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</si>
  <si>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</si>
  <si>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</si>
  <si>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</si>
  <si>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</si>
  <si>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</si>
  <si>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</si>
  <si>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</si>
  <si>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</si>
  <si>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</si>
  <si>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</si>
  <si>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</si>
  <si>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</si>
  <si>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</si>
  <si>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</si>
  <si>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</si>
  <si>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</si>
  <si>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</si>
  <si>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</si>
  <si>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</si>
  <si>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</si>
  <si>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</si>
  <si>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</si>
  <si>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</si>
  <si>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</si>
  <si>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</si>
  <si>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</si>
  <si>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</si>
  <si>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</si>
  <si>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</si>
  <si>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</si>
  <si>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</si>
  <si>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</si>
  <si>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</si>
  <si>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</si>
  <si>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</si>
  <si>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</si>
  <si>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</si>
  <si>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</si>
  <si>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</si>
  <si>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</si>
  <si>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</si>
  <si>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</si>
  <si>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</si>
  <si>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</si>
  <si>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</si>
  <si>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</si>
  <si>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</si>
  <si>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</si>
  <si>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</si>
  <si>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</si>
  <si>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</si>
  <si>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</si>
  <si>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</si>
  <si>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</si>
  <si>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</si>
  <si>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</si>
  <si>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</si>
  <si>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</si>
  <si>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</si>
  <si>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</si>
  <si>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</si>
  <si>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</si>
  <si>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</si>
  <si>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</si>
  <si>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</si>
  <si>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</si>
  <si>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</si>
  <si>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</si>
  <si>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</si>
  <si>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</si>
  <si>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</si>
  <si>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</si>
  <si>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</si>
  <si>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</si>
  <si>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</si>
  <si>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</si>
  <si>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</si>
  <si>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</si>
  <si>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</si>
  <si>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</si>
  <si>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</si>
  <si>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</si>
  <si>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</si>
  <si>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</si>
  <si>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</si>
  <si>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</si>
  <si>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</si>
  <si>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</si>
  <si>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</si>
  <si>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</si>
  <si>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</si>
  <si>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</si>
  <si>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</si>
  <si>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</si>
  <si>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</si>
  <si>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</si>
  <si>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</si>
  <si>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</si>
  <si>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</si>
  <si>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</si>
  <si>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</si>
  <si>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</si>
  <si>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</si>
  <si>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</si>
  <si>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</si>
  <si>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</si>
  <si>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</si>
  <si>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</si>
  <si>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</si>
  <si>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</si>
  <si>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</si>
  <si>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</si>
  <si>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</si>
  <si>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</si>
  <si>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</si>
  <si>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</si>
  <si>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</si>
  <si>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</si>
  <si>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</si>
  <si>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</si>
  <si>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</si>
  <si>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</si>
  <si>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</si>
  <si>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</si>
  <si>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</si>
  <si>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</si>
  <si>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</si>
  <si>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</si>
  <si>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</si>
  <si>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</si>
  <si>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</si>
  <si>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</si>
  <si>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</si>
  <si>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</si>
  <si>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</si>
  <si>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</si>
  <si>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</si>
  <si>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</si>
  <si>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</si>
  <si>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</si>
  <si>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</si>
  <si>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</si>
  <si>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</si>
  <si>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</si>
  <si>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</si>
  <si>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</si>
  <si>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</si>
  <si>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</si>
  <si>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</si>
  <si>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</si>
  <si>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</si>
  <si>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</si>
  <si>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</si>
  <si>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</si>
  <si>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</si>
  <si>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</si>
  <si>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</si>
  <si>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</si>
  <si>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</si>
  <si>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</si>
  <si>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</si>
  <si>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</si>
  <si>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</si>
  <si>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</si>
  <si>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</si>
  <si>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</si>
  <si>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</si>
  <si>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</si>
  <si>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</si>
  <si>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</si>
  <si>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</si>
  <si>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</si>
  <si>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</si>
  <si>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</si>
  <si>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</si>
  <si>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</si>
  <si>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</si>
  <si>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</si>
  <si>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</si>
  <si>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</si>
  <si>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</si>
  <si>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</si>
  <si>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</si>
  <si>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</si>
  <si>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</si>
  <si>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</si>
  <si>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</si>
  <si>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</si>
  <si>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</si>
  <si>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</si>
  <si>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</si>
  <si>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</si>
  <si>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</si>
  <si>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</si>
  <si>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</si>
  <si>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</si>
  <si>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</si>
  <si>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</si>
  <si>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</si>
  <si>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</si>
  <si>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</si>
  <si>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</si>
  <si>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</si>
  <si>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</si>
  <si>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</si>
  <si>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</si>
  <si>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</si>
  <si>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</si>
  <si>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</si>
  <si>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</si>
  <si>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</si>
  <si>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</si>
  <si>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</si>
  <si>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</si>
  <si>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</si>
  <si>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</si>
  <si>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</si>
  <si>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</si>
  <si>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</si>
  <si>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</si>
  <si>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</si>
  <si>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</si>
  <si>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</si>
  <si>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</si>
  <si>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</si>
  <si>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</si>
  <si>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</si>
  <si>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</si>
  <si>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</si>
  <si>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</si>
  <si>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</si>
  <si>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</si>
  <si>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</si>
  <si>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</si>
  <si>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</si>
  <si>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</si>
  <si>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</si>
  <si>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</si>
  <si>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</si>
  <si>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</si>
  <si>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</si>
  <si>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</si>
  <si>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</si>
  <si>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</si>
  <si>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</si>
  <si>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</si>
  <si>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</si>
  <si>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</si>
  <si>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</si>
  <si>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</si>
  <si>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</si>
  <si>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</si>
  <si>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</si>
  <si>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</si>
  <si>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</si>
  <si>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</si>
  <si>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</si>
  <si>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</si>
  <si>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</si>
  <si>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</si>
  <si>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</si>
  <si>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</si>
  <si>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</si>
  <si>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</si>
  <si>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</si>
  <si>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</si>
  <si>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</si>
  <si>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</si>
  <si>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</si>
  <si>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</si>
  <si>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</si>
  <si>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</si>
  <si>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</si>
  <si>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</si>
  <si>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</si>
  <si>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</si>
  <si>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</si>
  <si>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</si>
  <si>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</si>
  <si>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</si>
  <si>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</si>
  <si>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</si>
  <si>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</si>
  <si>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</si>
  <si>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</si>
  <si>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</si>
  <si>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</si>
  <si>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</si>
  <si>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</si>
  <si>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</si>
  <si>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</si>
  <si>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</si>
  <si>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</si>
  <si>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</si>
  <si>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</si>
  <si>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</si>
  <si>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</si>
  <si>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</si>
  <si>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</si>
  <si>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</si>
  <si>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</si>
  <si>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</si>
  <si>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</si>
  <si>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</si>
  <si>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</si>
  <si>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</si>
  <si>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</si>
  <si>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</si>
  <si>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</si>
  <si>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</si>
  <si>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</si>
  <si>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</si>
  <si>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</si>
  <si>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</si>
  <si>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</si>
  <si>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</si>
  <si>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</si>
  <si>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</si>
  <si>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</si>
  <si>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</si>
  <si>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</si>
  <si>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</si>
  <si>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</si>
  <si>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</si>
  <si>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</si>
  <si>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</si>
  <si>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</si>
  <si>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</si>
  <si>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</si>
  <si>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</si>
  <si>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</si>
  <si>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</si>
  <si>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</si>
  <si>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</si>
  <si>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</si>
  <si>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</si>
  <si>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</si>
  <si>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</si>
  <si>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</si>
  <si>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</si>
  <si>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</si>
  <si>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</si>
  <si>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</si>
  <si>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</si>
  <si>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</si>
  <si>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</si>
  <si>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</si>
  <si>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</si>
  <si>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</si>
  <si>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</si>
  <si>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</si>
  <si>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</si>
  <si>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</si>
  <si>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</si>
  <si>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</si>
  <si>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</si>
  <si>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</si>
  <si>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</si>
  <si>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</si>
  <si>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</si>
  <si>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</si>
  <si>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</si>
  <si>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</si>
  <si>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</si>
  <si>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</si>
  <si>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</si>
  <si>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</si>
  <si>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</si>
  <si>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</si>
  <si>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</si>
  <si>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</si>
  <si>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</si>
  <si>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</si>
  <si>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</si>
  <si>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</si>
  <si>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</si>
  <si>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</si>
  <si>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</si>
  <si>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</si>
  <si>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</si>
  <si>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</si>
  <si>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</si>
  <si>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</si>
  <si>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</si>
  <si>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</si>
  <si>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</si>
  <si>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</si>
  <si>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</si>
  <si>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</si>
  <si>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</si>
  <si>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</si>
  <si>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</si>
  <si>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</si>
  <si>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</si>
  <si>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</si>
  <si>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</si>
  <si>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</si>
  <si>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</si>
  <si>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</si>
  <si>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</si>
  <si>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</si>
  <si>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</si>
  <si>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</si>
  <si>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</si>
  <si>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</si>
  <si>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</si>
  <si>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</si>
  <si>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</si>
  <si>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</si>
  <si>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</si>
  <si>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</si>
  <si>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</si>
  <si>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</si>
  <si>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</si>
  <si>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</si>
  <si>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</si>
  <si>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</si>
  <si>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</si>
  <si>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</si>
  <si>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</si>
  <si>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</si>
  <si>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</si>
  <si>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</si>
  <si>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</si>
  <si>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</si>
  <si>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</si>
  <si>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</si>
  <si>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</si>
  <si>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</si>
  <si>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</si>
  <si>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</si>
  <si>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</si>
  <si>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</si>
  <si>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</si>
  <si>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</si>
  <si>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</si>
  <si>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</si>
  <si>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</si>
  <si>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</si>
  <si>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</si>
  <si>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</si>
  <si>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</si>
  <si>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</si>
  <si>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</si>
  <si>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</si>
  <si>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</si>
  <si>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</si>
  <si>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</si>
  <si>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</si>
  <si>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</si>
  <si>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</si>
  <si>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</si>
  <si>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</si>
  <si>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</si>
  <si>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</si>
  <si>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</si>
  <si>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</si>
  <si>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</si>
  <si>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</si>
  <si>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</si>
  <si>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</si>
  <si>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</si>
  <si>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</si>
  <si>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</si>
  <si>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</si>
  <si>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</si>
  <si>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</si>
  <si>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</si>
  <si>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</si>
  <si>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</si>
  <si>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</si>
  <si>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</si>
  <si>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</si>
  <si>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</si>
  <si>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</si>
  <si>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</si>
  <si>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</si>
  <si>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</si>
  <si>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</si>
  <si>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</si>
  <si>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</si>
  <si>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</si>
  <si>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</si>
  <si>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</si>
  <si>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</si>
  <si>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</si>
  <si>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</si>
  <si>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</si>
  <si>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</si>
  <si>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</si>
  <si>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</si>
  <si>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</si>
  <si>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</si>
  <si>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</si>
  <si>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</si>
  <si>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</si>
  <si>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</si>
  <si>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</si>
  <si>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</si>
  <si>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</si>
  <si>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</si>
  <si>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</si>
  <si>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</si>
  <si>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</si>
  <si>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</si>
  <si>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</si>
  <si>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</si>
  <si>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</si>
  <si>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</si>
  <si>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</si>
  <si>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</si>
  <si>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</si>
  <si>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</si>
  <si>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</si>
  <si>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</si>
  <si>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</si>
  <si>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</si>
  <si>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</si>
  <si>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</si>
  <si>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</si>
  <si>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</si>
  <si>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</si>
  <si>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</si>
  <si>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</si>
  <si>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</si>
  <si>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</si>
  <si>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</si>
  <si>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</si>
  <si>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</si>
  <si>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</si>
  <si>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</si>
  <si>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</si>
  <si>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</si>
  <si>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</si>
  <si>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</si>
  <si>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</si>
  <si>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</si>
  <si>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</si>
  <si>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</si>
  <si>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</si>
  <si>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</si>
  <si>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</si>
  <si>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</si>
  <si>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</si>
  <si>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</si>
  <si>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</si>
  <si>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</si>
  <si>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</si>
  <si>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</si>
  <si>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</si>
  <si>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</si>
  <si>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</si>
  <si>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</si>
  <si>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</si>
  <si>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</si>
  <si>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</si>
  <si>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</si>
  <si>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</si>
  <si>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</si>
  <si>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</si>
  <si>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</si>
  <si>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</si>
  <si>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</si>
  <si>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</si>
  <si>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</si>
  <si>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</si>
  <si>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</si>
  <si>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</si>
  <si>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</si>
  <si>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</si>
  <si>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</si>
  <si>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</si>
  <si>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</si>
  <si>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</si>
  <si>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</si>
  <si>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</si>
  <si>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</si>
  <si>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</si>
  <si>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</si>
  <si>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</si>
  <si>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</si>
  <si>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</si>
  <si>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</si>
  <si>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</si>
  <si>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</si>
  <si>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</si>
  <si>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</si>
  <si>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</si>
  <si>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</si>
  <si>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</si>
  <si>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</si>
  <si>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</si>
  <si>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</si>
  <si>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</si>
  <si>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</si>
  <si>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</si>
  <si>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</si>
  <si>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</si>
  <si>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</si>
  <si>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</si>
  <si>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</si>
  <si>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</si>
  <si>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</si>
  <si>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</si>
  <si>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</si>
  <si>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</si>
  <si>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</si>
  <si>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</si>
  <si>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</si>
  <si>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</si>
  <si>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</si>
  <si>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</si>
  <si>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</si>
  <si>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</si>
  <si>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</si>
  <si>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</si>
  <si>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</si>
  <si>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</si>
  <si>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</si>
  <si>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</si>
  <si>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</si>
  <si>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</si>
  <si>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</si>
  <si>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</si>
  <si>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</si>
  <si>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</si>
  <si>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</si>
  <si>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</si>
  <si>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</si>
  <si>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</si>
  <si>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</si>
  <si>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</si>
  <si>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</si>
  <si>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</si>
  <si>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</si>
  <si>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</si>
  <si>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</si>
  <si>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</si>
  <si>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</si>
  <si>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</si>
  <si>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</si>
  <si>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</si>
  <si>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</si>
  <si>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</si>
  <si>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</si>
  <si>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</si>
  <si>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</si>
  <si>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</si>
  <si>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</si>
  <si>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</si>
  <si>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</si>
  <si>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</si>
  <si>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</si>
  <si>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</si>
  <si>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</si>
  <si>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</si>
  <si>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</si>
  <si>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</si>
  <si>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</si>
  <si>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</si>
  <si>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</si>
  <si>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</si>
  <si>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</si>
  <si>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</si>
  <si>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</si>
  <si>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</si>
  <si>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</si>
  <si>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</si>
  <si>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</si>
  <si>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</si>
  <si>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</si>
  <si>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</si>
  <si>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</si>
  <si>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</si>
  <si>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</si>
  <si>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</si>
  <si>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</si>
  <si>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</si>
  <si>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</si>
  <si>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</si>
  <si>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</si>
  <si>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</si>
  <si>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</si>
  <si>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</si>
  <si>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</si>
  <si>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</si>
  <si>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</si>
  <si>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</si>
  <si>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</si>
  <si>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</si>
  <si>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</si>
  <si>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</si>
  <si>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</si>
  <si>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</si>
  <si>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</si>
  <si>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</si>
  <si>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</si>
  <si>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</si>
  <si>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</si>
  <si>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</si>
  <si>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</si>
  <si>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</si>
  <si>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</si>
  <si>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</si>
  <si>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</si>
  <si>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</si>
  <si>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</si>
  <si>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</si>
  <si>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</si>
  <si>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</si>
  <si>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</si>
  <si>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</si>
  <si>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</si>
  <si>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</si>
  <si>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</si>
  <si>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</si>
  <si>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</si>
  <si>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</si>
  <si>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</si>
  <si>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</si>
  <si>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</si>
  <si>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</si>
  <si>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</si>
  <si>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</si>
  <si>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</si>
  <si>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</si>
  <si>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</si>
  <si>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</si>
  <si>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</si>
  <si>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</si>
  <si>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</si>
  <si>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</si>
  <si>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</si>
  <si>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</si>
  <si>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</si>
  <si>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</si>
  <si>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</si>
  <si>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</si>
  <si>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</si>
  <si>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</si>
  <si>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</si>
  <si>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</si>
  <si>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</si>
  <si>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</si>
  <si>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</si>
  <si>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</si>
  <si>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</si>
  <si>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</si>
  <si>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</si>
  <si>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</si>
  <si>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</si>
  <si>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</si>
  <si>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</si>
  <si>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</si>
  <si>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</si>
  <si>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</si>
  <si>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</si>
  <si>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</si>
  <si>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</si>
  <si>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</si>
  <si>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</si>
  <si>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</si>
  <si>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</si>
  <si>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</si>
  <si>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</si>
  <si>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</si>
  <si>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</si>
  <si>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</si>
  <si>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</si>
  <si>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</si>
  <si>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</si>
  <si>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</si>
  <si>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</si>
  <si>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</si>
  <si>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</si>
  <si>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</si>
  <si>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</si>
  <si>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</si>
  <si>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</si>
  <si>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</si>
  <si>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</si>
  <si>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</si>
  <si>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</si>
  <si>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</si>
  <si>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</si>
  <si>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</si>
  <si>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</si>
  <si>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</si>
  <si>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</si>
  <si>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</si>
  <si>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</si>
  <si>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</si>
  <si>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</si>
  <si>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</si>
  <si>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</si>
  <si>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</si>
  <si>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</si>
  <si>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</si>
  <si>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</si>
  <si>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</si>
  <si>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</si>
  <si>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</si>
  <si>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</si>
  <si>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</si>
  <si>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</si>
  <si>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</si>
  <si>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</si>
  <si>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</si>
  <si>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</si>
  <si>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</si>
  <si>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</si>
  <si>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</si>
  <si>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</si>
  <si>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</si>
  <si>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</si>
  <si>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</si>
  <si>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</si>
  <si>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</si>
  <si>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</si>
  <si>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</si>
  <si>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</si>
  <si>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</si>
  <si>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</si>
  <si>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</si>
  <si>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</si>
  <si>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</si>
  <si>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</si>
  <si>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</si>
  <si>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</si>
  <si>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</si>
  <si>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</si>
  <si>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</si>
  <si>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</si>
  <si>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</si>
  <si>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</si>
  <si>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</si>
  <si>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</si>
  <si>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</si>
  <si>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</si>
  <si>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</si>
  <si>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</si>
  <si>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</si>
  <si>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</si>
  <si>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</si>
  <si>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</si>
  <si>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</si>
  <si>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</si>
  <si>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</si>
  <si>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</si>
  <si>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</si>
  <si>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</si>
  <si>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</si>
  <si>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</si>
  <si>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</si>
  <si>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</si>
  <si>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</si>
  <si>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</si>
  <si>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</si>
  <si>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</si>
  <si>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</si>
  <si>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</si>
  <si>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</si>
  <si>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</si>
  <si>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</si>
  <si>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</si>
  <si>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</si>
  <si>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</si>
  <si>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</si>
  <si>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</si>
  <si>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</si>
  <si>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</si>
  <si>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</si>
  <si>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</si>
  <si>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</si>
  <si>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</si>
  <si>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</si>
  <si>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</si>
  <si>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</si>
  <si>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</si>
  <si>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</si>
  <si>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</si>
  <si>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</si>
  <si>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</si>
  <si>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</si>
  <si>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</si>
  <si>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</si>
  <si>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</si>
  <si>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</si>
  <si>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</si>
  <si>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</si>
  <si>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</si>
  <si>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</si>
  <si>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</si>
  <si>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</si>
  <si>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</si>
  <si>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</si>
  <si>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</si>
  <si>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</si>
  <si>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</si>
  <si>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</si>
  <si>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</si>
  <si>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</si>
  <si>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</si>
  <si>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</si>
  <si>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</si>
  <si>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</si>
  <si>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</si>
  <si>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</si>
  <si>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</si>
  <si>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</si>
  <si>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</si>
  <si>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</si>
  <si>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</si>
  <si>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</si>
  <si>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</si>
  <si>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</si>
  <si>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</si>
  <si>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</si>
  <si>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</si>
  <si>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</si>
  <si>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</si>
  <si>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</si>
  <si>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</si>
  <si>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</si>
  <si>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</si>
  <si>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</si>
  <si>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</si>
  <si>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</si>
  <si>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</si>
  <si>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</si>
  <si>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</si>
  <si>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</si>
  <si>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</si>
  <si>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</si>
  <si>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</si>
  <si>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</si>
  <si>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</si>
  <si>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</si>
  <si>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</si>
  <si>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</si>
  <si>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</si>
  <si>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</si>
  <si>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</si>
  <si>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</si>
  <si>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</si>
  <si>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</si>
  <si>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</si>
  <si>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</si>
  <si>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</si>
  <si>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</si>
  <si>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</si>
  <si>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</si>
  <si>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</si>
  <si>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</si>
  <si>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</si>
  <si>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</si>
  <si>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</si>
  <si>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</si>
  <si>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</si>
  <si>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</si>
  <si>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</si>
  <si>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</si>
  <si>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</si>
  <si>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</si>
  <si>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</si>
  <si>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</si>
  <si>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</si>
  <si>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</si>
  <si>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</si>
  <si>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</si>
  <si>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</si>
  <si>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</si>
  <si>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</si>
  <si>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</si>
  <si>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</si>
  <si>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</si>
  <si>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</si>
  <si>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</si>
  <si>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</si>
  <si>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</si>
  <si>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</si>
  <si>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</si>
  <si>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</si>
  <si>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</si>
  <si>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</si>
  <si>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</si>
  <si>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</si>
  <si>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</si>
  <si>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</si>
  <si>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</si>
  <si>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</si>
  <si>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</si>
  <si>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</si>
  <si>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</si>
  <si>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</si>
  <si>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</si>
  <si>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</si>
  <si>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</si>
  <si>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</si>
  <si>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</si>
  <si>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</si>
  <si>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</si>
  <si>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</si>
  <si>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</si>
  <si>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</si>
  <si>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</si>
  <si>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</si>
  <si>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</si>
  <si>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</si>
  <si>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</si>
  <si>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</si>
  <si>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</si>
  <si>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</si>
  <si>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</si>
  <si>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</si>
  <si>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</si>
  <si>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</si>
  <si>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</si>
  <si>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</si>
  <si>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</si>
  <si>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</si>
  <si>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</si>
  <si>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</si>
  <si>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</si>
  <si>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</si>
  <si>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</si>
  <si>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</si>
  <si>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</si>
  <si>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</si>
  <si>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</si>
  <si>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</si>
  <si>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</si>
  <si>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</si>
  <si>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</si>
  <si>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</si>
  <si>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</si>
  <si>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</si>
  <si>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</si>
  <si>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</si>
  <si>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</si>
  <si>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</si>
  <si>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</si>
  <si>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</si>
  <si>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</si>
  <si>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</si>
  <si>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</si>
  <si>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</si>
  <si>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</si>
  <si>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</si>
  <si>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</si>
  <si>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</si>
  <si>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</si>
  <si>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</si>
  <si>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</si>
  <si>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</si>
  <si>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</si>
  <si>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</si>
  <si>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</si>
  <si>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</si>
  <si>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</si>
  <si>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</si>
  <si>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</si>
  <si>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</si>
  <si>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</si>
  <si>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</si>
  <si>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</si>
  <si>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</si>
  <si>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</si>
  <si>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</si>
  <si>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</si>
  <si>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</si>
  <si>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</si>
  <si>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</si>
  <si>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</si>
  <si>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</si>
  <si>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</si>
  <si>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</si>
  <si>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</si>
  <si>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</si>
  <si>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</si>
  <si>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</si>
  <si>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</si>
  <si>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</si>
  <si>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</si>
  <si>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</si>
  <si>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</si>
  <si>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</si>
  <si>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</si>
  <si>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</si>
  <si>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</si>
  <si>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</si>
  <si>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</si>
  <si>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</si>
  <si>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</si>
  <si>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</si>
  <si>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</si>
  <si>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</si>
  <si>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</si>
  <si>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</si>
  <si>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</si>
  <si>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</si>
  <si>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</si>
  <si>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</si>
  <si>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</si>
  <si>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</si>
  <si>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</si>
  <si>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</si>
  <si>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</si>
  <si>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</si>
  <si>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</si>
  <si>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</si>
  <si>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</si>
  <si>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</si>
  <si>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</si>
  <si>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</si>
  <si>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</si>
  <si>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</si>
  <si>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</si>
  <si>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</si>
  <si>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</si>
  <si>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</si>
  <si>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</si>
  <si>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</si>
  <si>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</si>
  <si>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</si>
  <si>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</si>
  <si>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</si>
  <si>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</si>
  <si>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</si>
  <si>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</si>
  <si>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</si>
  <si>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</si>
  <si>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</si>
  <si>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</si>
  <si>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</si>
  <si>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</si>
  <si>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</si>
  <si>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</si>
  <si>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</si>
  <si>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</si>
  <si>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</si>
  <si>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</si>
  <si>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</si>
  <si>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</si>
  <si>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</si>
  <si>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</si>
  <si>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</si>
  <si>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</si>
  <si>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</si>
  <si>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</si>
  <si>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</si>
  <si>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</si>
  <si>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</si>
  <si>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</si>
  <si>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</si>
  <si>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</si>
  <si>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</si>
  <si>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</si>
  <si>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</si>
  <si>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</si>
  <si>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</si>
  <si>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</si>
  <si>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</si>
  <si>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</si>
  <si>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</si>
  <si>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</si>
  <si>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</si>
  <si>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</si>
  <si>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</si>
  <si>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</si>
  <si>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</si>
  <si>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</si>
  <si>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</si>
  <si>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</si>
  <si>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</si>
  <si>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</si>
  <si>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</si>
  <si>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</si>
  <si>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</si>
  <si>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</si>
  <si>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</si>
  <si>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</si>
  <si>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</si>
  <si>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</si>
  <si>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</si>
  <si>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</si>
  <si>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</si>
  <si>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</si>
  <si>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</si>
  <si>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</si>
  <si>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</si>
  <si>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</si>
  <si>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</si>
  <si>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</si>
  <si>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</si>
  <si>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</si>
  <si>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</si>
  <si>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</si>
  <si>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</si>
  <si>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</si>
  <si>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</si>
  <si>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</si>
  <si>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</si>
  <si>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</si>
  <si>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</si>
  <si>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</si>
  <si>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</si>
  <si>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</si>
  <si>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</si>
  <si>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</si>
  <si>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</si>
  <si>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</si>
  <si>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</si>
  <si>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</si>
  <si>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</si>
  <si>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</si>
  <si>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</si>
  <si>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</si>
  <si>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</si>
  <si>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</si>
  <si>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</si>
  <si>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</si>
  <si>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</si>
  <si>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</si>
  <si>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</si>
  <si>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</si>
  <si>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</si>
  <si>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</si>
  <si>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</si>
  <si>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</si>
  <si>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</si>
  <si>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</si>
  <si>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</si>
  <si>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</si>
  <si>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</si>
  <si>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</si>
  <si>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</si>
  <si>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</si>
  <si>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</si>
  <si>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</si>
  <si>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</si>
  <si>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</si>
  <si>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</si>
  <si>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</si>
  <si>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</si>
  <si>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</si>
  <si>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</si>
  <si>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</si>
  <si>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</si>
  <si>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</si>
  <si>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</si>
  <si>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</si>
  <si>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</si>
  <si>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</si>
  <si>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</si>
  <si>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</si>
  <si>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</si>
  <si>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</si>
  <si>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</si>
  <si>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</si>
  <si>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</si>
  <si>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</si>
  <si>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</si>
  <si>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</si>
  <si>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</si>
  <si>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</si>
  <si>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</si>
  <si>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</si>
  <si>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</si>
  <si>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</si>
  <si>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</si>
  <si>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</si>
  <si>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</si>
  <si>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</si>
  <si>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</si>
  <si>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</si>
  <si>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</si>
  <si>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</si>
  <si>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</si>
  <si>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</si>
  <si>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</si>
  <si>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</si>
  <si>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</si>
  <si>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</si>
  <si>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</si>
  <si>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</si>
  <si>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</si>
  <si>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</si>
  <si>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</si>
  <si>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</si>
  <si>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</si>
  <si>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</si>
  <si>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</si>
  <si>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</si>
  <si>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</si>
  <si>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</si>
  <si>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</si>
  <si>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</si>
  <si>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</si>
  <si>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</si>
  <si>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</si>
  <si>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</si>
  <si>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</si>
  <si>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</si>
  <si>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</si>
  <si>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</si>
  <si>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</si>
  <si>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</si>
  <si>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</si>
  <si>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</si>
  <si>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</si>
  <si>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</si>
  <si>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</si>
  <si>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</si>
  <si>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</si>
  <si>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</si>
  <si>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</si>
  <si>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</si>
  <si>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</si>
  <si>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</si>
  <si>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</si>
  <si>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</si>
  <si>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</si>
  <si>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</si>
  <si>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</si>
  <si>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</si>
  <si>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</si>
  <si>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</si>
  <si>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</si>
  <si>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</si>
  <si>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</si>
  <si>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</si>
  <si>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</si>
  <si>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</si>
  <si>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</si>
  <si>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</si>
  <si>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</si>
  <si>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</si>
  <si>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</si>
  <si>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</si>
  <si>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</si>
  <si>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</si>
  <si>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</si>
  <si>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</si>
  <si>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</si>
  <si>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</si>
  <si>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</si>
  <si>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</si>
  <si>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</si>
  <si>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</si>
  <si>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</si>
  <si>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</si>
  <si>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</si>
  <si>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</si>
  <si>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</si>
  <si>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</si>
  <si>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</si>
  <si>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</si>
  <si>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</si>
  <si>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</si>
  <si>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</si>
  <si>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</si>
  <si>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</si>
  <si>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</si>
  <si>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</si>
  <si>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</si>
  <si>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</si>
  <si>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</si>
  <si>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</si>
  <si>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</si>
  <si>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</si>
  <si>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</si>
  <si>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</si>
  <si>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</si>
  <si>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</si>
  <si>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</si>
  <si>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</si>
  <si>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</si>
  <si>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</si>
  <si>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</si>
  <si>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</si>
  <si>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</si>
  <si>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</si>
  <si>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</si>
  <si>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</si>
  <si>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</si>
  <si>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</si>
  <si>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</si>
  <si>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</si>
  <si>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</si>
  <si>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</si>
  <si>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</si>
  <si>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</si>
  <si>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</si>
  <si>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</si>
  <si>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</si>
  <si>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</si>
  <si>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</si>
  <si>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</si>
  <si>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</si>
  <si>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</si>
  <si>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</si>
  <si>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</si>
  <si>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</si>
  <si>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</si>
  <si>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</si>
  <si>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</si>
  <si>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</si>
  <si>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</si>
  <si>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PRESIDENCIA SAPAL RURAL</t>
  </si>
  <si>
    <t>ADMINISTRACIÓN FINANCIERA Y COMERCIAL</t>
  </si>
  <si>
    <t>PLANEACIÓN, OPERACIÓN Y MANTENIMIENTO</t>
  </si>
  <si>
    <t>Sistema de Agua Potable y alcantarillado en la Zona Rural del Municipio de León, Guanajuato</t>
  </si>
  <si>
    <t>Al 31 de diciembre de 2017 y al 30 de septiembre de 2018 (b)</t>
  </si>
  <si>
    <t>Del 1 de enero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</si>
</sst>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6" fillId="0" borderId="0" xfId="0" applyFont="1"/>
    <xf numFmtId="0" fontId="15" fillId="0" borderId="8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47" t="s">
        <v>829</v>
      </c>
      <c r="B1" s="148"/>
      <c r="C1" s="148"/>
      <c r="D1" s="148"/>
      <c r="E1" s="149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3305</v>
      </c>
      <c r="D3" s="150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7" workbookViewId="0">
      <selection activeCell="D75" sqref="D7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ht="14.25" x14ac:dyDescent="0.45">
      <c r="A3" s="154" t="s">
        <v>166</v>
      </c>
      <c r="B3" s="155"/>
      <c r="C3" s="155"/>
      <c r="D3" s="156"/>
    </row>
    <row r="4" spans="1:11" ht="14.25" x14ac:dyDescent="0.45">
      <c r="A4" s="157" t="str">
        <f>TRIMESTRE</f>
        <v>Del 1 de enero al 30 de septiembre de 2018 (b)</v>
      </c>
      <c r="B4" s="158"/>
      <c r="C4" s="158"/>
      <c r="D4" s="159"/>
    </row>
    <row r="5" spans="1:11" ht="14.25" x14ac:dyDescent="0.45">
      <c r="A5" s="160" t="s">
        <v>118</v>
      </c>
      <c r="B5" s="161"/>
      <c r="C5" s="161"/>
      <c r="D5" s="162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92510166</v>
      </c>
      <c r="C8" s="40">
        <f>SUM(C9:C11)</f>
        <v>523181.92</v>
      </c>
      <c r="D8" s="40">
        <f>SUM(D9:D11)</f>
        <v>45741546.450000003</v>
      </c>
    </row>
    <row r="9" spans="1:11" x14ac:dyDescent="0.25">
      <c r="A9" s="53" t="s">
        <v>169</v>
      </c>
      <c r="B9" s="23">
        <v>92510166</v>
      </c>
      <c r="C9" s="23">
        <v>523181.92</v>
      </c>
      <c r="D9" s="23">
        <v>45741546.450000003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92510166</v>
      </c>
      <c r="C13" s="40">
        <f>C14+C15</f>
        <v>28280889.440000001</v>
      </c>
      <c r="D13" s="40">
        <f>D14+D15</f>
        <v>28280889.440000001</v>
      </c>
    </row>
    <row r="14" spans="1:11" x14ac:dyDescent="0.25">
      <c r="A14" s="53" t="s">
        <v>172</v>
      </c>
      <c r="B14" s="23">
        <v>92510166</v>
      </c>
      <c r="C14" s="23">
        <v>28280889.440000001</v>
      </c>
      <c r="D14" s="23">
        <v>28280889.440000001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9">
        <v>0</v>
      </c>
      <c r="C19" s="23">
        <v>0</v>
      </c>
      <c r="D19" s="117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-27757707.52</v>
      </c>
      <c r="D21" s="40">
        <f>D8-D13+D17</f>
        <v>17460657.010000002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>C21-C11</f>
        <v>-27757707.52</v>
      </c>
      <c r="D23" s="40">
        <f>D21-D11</f>
        <v>17460657.010000002</v>
      </c>
    </row>
    <row r="24" spans="1:4" ht="14.25" x14ac:dyDescent="0.4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-27757707.52</v>
      </c>
      <c r="D25" s="40">
        <f>D23-D17</f>
        <v>17460657.010000002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-27757707.52</v>
      </c>
      <c r="D33" s="61">
        <f>D25+D29</f>
        <v>17460657.010000002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92510166</v>
      </c>
      <c r="C48" s="124">
        <f>C9</f>
        <v>523181.92</v>
      </c>
      <c r="D48" s="124">
        <f>D9</f>
        <v>45741546.450000003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92510166</v>
      </c>
      <c r="C53" s="60">
        <f>C14</f>
        <v>28280889.440000001</v>
      </c>
      <c r="D53" s="60">
        <f>D14</f>
        <v>28280889.440000001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-27757707.52</v>
      </c>
      <c r="D57" s="61">
        <f>D48+D49-D53+D55</f>
        <v>17460657.010000002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-27757707.52</v>
      </c>
      <c r="D59" s="61">
        <f>D57-D49</f>
        <v>17460657.010000002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92510166</v>
      </c>
      <c r="Q2" s="18">
        <f>'Formato 4'!C8</f>
        <v>523181.92</v>
      </c>
      <c r="R2" s="18">
        <f>'Formato 4'!D8</f>
        <v>45741546.450000003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92510166</v>
      </c>
      <c r="Q3" s="18">
        <f>'Formato 4'!C9</f>
        <v>523181.92</v>
      </c>
      <c r="R3" s="18">
        <f>'Formato 4'!D9</f>
        <v>45741546.450000003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92510166</v>
      </c>
      <c r="Q6" s="18">
        <f>'Formato 4'!C13</f>
        <v>28280889.440000001</v>
      </c>
      <c r="R6" s="18">
        <f>'Formato 4'!D13</f>
        <v>28280889.440000001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92510166</v>
      </c>
      <c r="Q7" s="18">
        <f>'Formato 4'!C14</f>
        <v>28280889.440000001</v>
      </c>
      <c r="R7" s="18">
        <f>'Formato 4'!D14</f>
        <v>28280889.440000001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-27757707.52</v>
      </c>
      <c r="R12" s="18">
        <f>'Formato 4'!D21</f>
        <v>17460657.010000002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-27757707.52</v>
      </c>
      <c r="R13" s="18">
        <f>'Formato 4'!D23</f>
        <v>17460657.010000002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-27757707.52</v>
      </c>
      <c r="R14" s="18">
        <f>'Formato 4'!D25</f>
        <v>17460657.010000002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-27757707.52</v>
      </c>
      <c r="R18">
        <f>'Formato 4'!D33</f>
        <v>17460657.010000002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92510166</v>
      </c>
      <c r="Q26">
        <f>'Formato 4'!C48</f>
        <v>523181.92</v>
      </c>
      <c r="R26">
        <f>'Formato 4'!D48</f>
        <v>45741546.450000003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92510166</v>
      </c>
      <c r="Q30">
        <f>'Formato 4'!C53</f>
        <v>28280889.440000001</v>
      </c>
      <c r="R30">
        <f>'Formato 4'!D53</f>
        <v>28280889.440000001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9" zoomScale="85" zoomScaleNormal="85" workbookViewId="0">
      <selection activeCell="E14" sqref="E1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ht="14.25" x14ac:dyDescent="0.45">
      <c r="A4" s="157" t="str">
        <f>TRIMESTRE</f>
        <v>Del 1 de enero al 30 de septiembre de 2018 (b)</v>
      </c>
      <c r="B4" s="158"/>
      <c r="C4" s="158"/>
      <c r="D4" s="158"/>
      <c r="E4" s="158"/>
      <c r="F4" s="158"/>
      <c r="G4" s="159"/>
    </row>
    <row r="5" spans="1:8" ht="14.25" x14ac:dyDescent="0.4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 t="shared" ref="G9:G14" si="0"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si="0"/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ht="14.25" x14ac:dyDescent="0.4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1758329.58</v>
      </c>
      <c r="F14" s="60">
        <v>1758329.58</v>
      </c>
      <c r="G14" s="60">
        <f t="shared" si="0"/>
        <v>1758329.58</v>
      </c>
    </row>
    <row r="15" spans="1:8" ht="14.25" x14ac:dyDescent="0.45">
      <c r="A15" s="53" t="s">
        <v>222</v>
      </c>
      <c r="B15" s="60">
        <v>18374153</v>
      </c>
      <c r="C15" s="60">
        <v>0</v>
      </c>
      <c r="D15" s="60">
        <v>18374153</v>
      </c>
      <c r="E15" s="60">
        <v>523181.92</v>
      </c>
      <c r="F15" s="60">
        <v>19579777</v>
      </c>
      <c r="G15" s="60">
        <f>F15-B15</f>
        <v>1205624</v>
      </c>
    </row>
    <row r="16" spans="1:8" ht="14.25" x14ac:dyDescent="0.4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ht="14.25" x14ac:dyDescent="0.4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234</v>
      </c>
      <c r="B28" s="60">
        <f t="shared" ref="B28:G28" si="2">SUM(B29:B33)</f>
        <v>0</v>
      </c>
      <c r="C28" s="60">
        <f t="shared" si="2"/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3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3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3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3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3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3"/>
        <v>0</v>
      </c>
    </row>
    <row r="35" spans="1:8" x14ac:dyDescent="0.25">
      <c r="A35" s="53" t="s">
        <v>241</v>
      </c>
      <c r="B35" s="60">
        <f>B36</f>
        <v>74136013</v>
      </c>
      <c r="C35" s="60">
        <v>0</v>
      </c>
      <c r="D35" s="60">
        <f>D36</f>
        <v>74136013</v>
      </c>
      <c r="E35" s="60">
        <f>E36</f>
        <v>0</v>
      </c>
      <c r="F35" s="60">
        <f>F36</f>
        <v>24403439.857000001</v>
      </c>
      <c r="G35" s="60">
        <f>G36</f>
        <v>-49732573.142999999</v>
      </c>
    </row>
    <row r="36" spans="1:8" x14ac:dyDescent="0.25">
      <c r="A36" s="63" t="s">
        <v>242</v>
      </c>
      <c r="B36" s="60">
        <v>74136013</v>
      </c>
      <c r="C36" s="60">
        <v>0</v>
      </c>
      <c r="D36" s="60">
        <v>74136013</v>
      </c>
      <c r="E36" s="60">
        <v>0</v>
      </c>
      <c r="F36" s="60">
        <v>24403439.857000001</v>
      </c>
      <c r="G36" s="60">
        <f>F36-B36</f>
        <v>-49732573.142999999</v>
      </c>
    </row>
    <row r="37" spans="1:8" x14ac:dyDescent="0.25">
      <c r="A37" s="53" t="s">
        <v>243</v>
      </c>
      <c r="B37" s="60">
        <f t="shared" ref="B37:G37" si="4">B38+B39</f>
        <v>0</v>
      </c>
      <c r="C37" s="60">
        <f t="shared" si="4"/>
        <v>0</v>
      </c>
      <c r="D37" s="60">
        <f t="shared" si="4"/>
        <v>0</v>
      </c>
      <c r="E37" s="60">
        <f t="shared" si="4"/>
        <v>0</v>
      </c>
      <c r="F37" s="60">
        <f t="shared" si="4"/>
        <v>0</v>
      </c>
      <c r="G37" s="60">
        <f t="shared" si="4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5">SUM(B9,B10,B11,B12,B13,B14,B15,B16,B28,B34,B35,B37)</f>
        <v>92510166</v>
      </c>
      <c r="C41" s="61">
        <f t="shared" si="5"/>
        <v>0</v>
      </c>
      <c r="D41" s="61">
        <f t="shared" si="5"/>
        <v>92510166</v>
      </c>
      <c r="E41" s="61">
        <f t="shared" si="5"/>
        <v>2281511.5</v>
      </c>
      <c r="F41" s="61">
        <f t="shared" si="5"/>
        <v>45741546.436999999</v>
      </c>
      <c r="G41" s="61">
        <f t="shared" si="5"/>
        <v>-46768619.563000001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6">SUM(B46:B53)</f>
        <v>0</v>
      </c>
      <c r="C45" s="60">
        <f t="shared" si="6"/>
        <v>0</v>
      </c>
      <c r="D45" s="60">
        <f t="shared" si="6"/>
        <v>0</v>
      </c>
      <c r="E45" s="60">
        <f t="shared" si="6"/>
        <v>0</v>
      </c>
      <c r="F45" s="60">
        <f t="shared" si="6"/>
        <v>0</v>
      </c>
      <c r="G45" s="60">
        <f t="shared" si="6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7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7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7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7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7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7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7"/>
        <v>0</v>
      </c>
    </row>
    <row r="54" spans="1:7" x14ac:dyDescent="0.25">
      <c r="A54" s="53" t="s">
        <v>257</v>
      </c>
      <c r="B54" s="60">
        <f t="shared" ref="B54:G54" si="8">SUM(B55:B58)</f>
        <v>0</v>
      </c>
      <c r="C54" s="60">
        <f t="shared" si="8"/>
        <v>0</v>
      </c>
      <c r="D54" s="60">
        <f t="shared" si="8"/>
        <v>0</v>
      </c>
      <c r="E54" s="60">
        <f t="shared" si="8"/>
        <v>0</v>
      </c>
      <c r="F54" s="60">
        <f t="shared" si="8"/>
        <v>0</v>
      </c>
      <c r="G54" s="60">
        <f t="shared" si="8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9">SUM(B60:B61)</f>
        <v>0</v>
      </c>
      <c r="C59" s="60">
        <f t="shared" si="9"/>
        <v>0</v>
      </c>
      <c r="D59" s="60">
        <f t="shared" si="9"/>
        <v>0</v>
      </c>
      <c r="E59" s="60">
        <f t="shared" si="9"/>
        <v>0</v>
      </c>
      <c r="F59" s="60">
        <f t="shared" si="9"/>
        <v>0</v>
      </c>
      <c r="G59" s="60">
        <f t="shared" si="9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0">B45+B54+B59+B62+B63</f>
        <v>0</v>
      </c>
      <c r="C65" s="61">
        <f t="shared" si="10"/>
        <v>0</v>
      </c>
      <c r="D65" s="61">
        <f t="shared" si="10"/>
        <v>0</v>
      </c>
      <c r="E65" s="61">
        <f t="shared" si="10"/>
        <v>0</v>
      </c>
      <c r="F65" s="61">
        <f t="shared" si="10"/>
        <v>0</v>
      </c>
      <c r="G65" s="61">
        <f t="shared" si="10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1">B68</f>
        <v>0</v>
      </c>
      <c r="C67" s="61">
        <f t="shared" si="11"/>
        <v>0</v>
      </c>
      <c r="D67" s="61">
        <f t="shared" si="11"/>
        <v>0</v>
      </c>
      <c r="E67" s="61">
        <f t="shared" si="11"/>
        <v>0</v>
      </c>
      <c r="F67" s="61">
        <f t="shared" si="11"/>
        <v>0</v>
      </c>
      <c r="G67" s="61">
        <f t="shared" si="11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2">B41+B65+B67</f>
        <v>92510166</v>
      </c>
      <c r="C70" s="61">
        <f t="shared" si="12"/>
        <v>0</v>
      </c>
      <c r="D70" s="61">
        <f t="shared" si="12"/>
        <v>92510166</v>
      </c>
      <c r="E70" s="61">
        <f>E41+E65+E67</f>
        <v>2281511.5</v>
      </c>
      <c r="F70" s="61">
        <f>F41+F65+F67</f>
        <v>45741546.436999999</v>
      </c>
      <c r="G70" s="61">
        <f t="shared" si="12"/>
        <v>-46768619.563000001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3">B73+B74</f>
        <v>0</v>
      </c>
      <c r="C75" s="61">
        <f t="shared" si="13"/>
        <v>0</v>
      </c>
      <c r="D75" s="61">
        <f t="shared" si="13"/>
        <v>0</v>
      </c>
      <c r="E75" s="61">
        <f t="shared" si="13"/>
        <v>0</v>
      </c>
      <c r="F75" s="61">
        <f t="shared" si="13"/>
        <v>0</v>
      </c>
      <c r="G75" s="61">
        <f t="shared" si="13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1758329.58</v>
      </c>
      <c r="T8" s="18">
        <f>'Formato 5'!F14</f>
        <v>1758329.58</v>
      </c>
      <c r="U8" s="18">
        <f>'Formato 5'!G14</f>
        <v>1758329.58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18374153</v>
      </c>
      <c r="Q9" s="18">
        <f>'Formato 5'!C15</f>
        <v>0</v>
      </c>
      <c r="R9" s="18">
        <f>'Formato 5'!D15</f>
        <v>18374153</v>
      </c>
      <c r="S9" s="18">
        <f>'Formato 5'!E15</f>
        <v>523181.92</v>
      </c>
      <c r="T9" s="18">
        <f>'Formato 5'!F15</f>
        <v>19579777</v>
      </c>
      <c r="U9" s="18">
        <f>'Formato 5'!G15</f>
        <v>1205624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74136013</v>
      </c>
      <c r="Q29" s="18">
        <f>'Formato 5'!C35</f>
        <v>0</v>
      </c>
      <c r="R29" s="18">
        <f>'Formato 5'!D35</f>
        <v>74136013</v>
      </c>
      <c r="S29" s="18">
        <f>'Formato 5'!E35</f>
        <v>0</v>
      </c>
      <c r="T29" s="18">
        <f>'Formato 5'!F35</f>
        <v>24403439.857000001</v>
      </c>
      <c r="U29" s="18">
        <f>'Formato 5'!G35</f>
        <v>-49732573.142999999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74136013</v>
      </c>
      <c r="Q30" s="18">
        <f>'Formato 5'!C36</f>
        <v>0</v>
      </c>
      <c r="R30" s="18">
        <f>'Formato 5'!D36</f>
        <v>74136013</v>
      </c>
      <c r="S30" s="18">
        <f>'Formato 5'!E36</f>
        <v>0</v>
      </c>
      <c r="T30" s="18">
        <f>'Formato 5'!F36</f>
        <v>24403439.857000001</v>
      </c>
      <c r="U30" s="18">
        <f>'Formato 5'!G36</f>
        <v>-49732573.142999999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92510166</v>
      </c>
      <c r="Q34">
        <f>'Formato 5'!C41</f>
        <v>0</v>
      </c>
      <c r="R34">
        <f>'Formato 5'!D41</f>
        <v>92510166</v>
      </c>
      <c r="S34">
        <f>'Formato 5'!E41</f>
        <v>2281511.5</v>
      </c>
      <c r="T34">
        <f>'Formato 5'!F41</f>
        <v>45741546.436999999</v>
      </c>
      <c r="U34">
        <f>'Formato 5'!G41</f>
        <v>-46768619.563000001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39" zoomScale="70" zoomScaleNormal="70" zoomScalePageLayoutView="90" workbookViewId="0">
      <selection activeCell="F60" sqref="F6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ht="14.25" x14ac:dyDescent="0.4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ht="14.25" x14ac:dyDescent="0.45">
      <c r="A5" s="175" t="str">
        <f>TRIMESTRE</f>
        <v>Del 1 de enero al 30 de septiembre de 2018 (b)</v>
      </c>
      <c r="B5" s="175"/>
      <c r="C5" s="175"/>
      <c r="D5" s="175"/>
      <c r="E5" s="175"/>
      <c r="F5" s="175"/>
      <c r="G5" s="175"/>
    </row>
    <row r="6" spans="1:7" ht="14.25" x14ac:dyDescent="0.4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ht="14.25" x14ac:dyDescent="0.45">
      <c r="A9" s="82" t="s">
        <v>285</v>
      </c>
      <c r="B9" s="79">
        <f t="shared" ref="B9:G9" si="0">SUM(B10,B18,B28,B38,B48,B58,B62,B71,B75)</f>
        <v>92510166</v>
      </c>
      <c r="C9" s="79">
        <f t="shared" si="0"/>
        <v>0</v>
      </c>
      <c r="D9" s="79">
        <f t="shared" si="0"/>
        <v>92510166</v>
      </c>
      <c r="E9" s="79">
        <f t="shared" si="0"/>
        <v>28280889.440000001</v>
      </c>
      <c r="F9" s="79">
        <f t="shared" si="0"/>
        <v>28280889.440000001</v>
      </c>
      <c r="G9" s="79">
        <f t="shared" si="0"/>
        <v>64229276.559999995</v>
      </c>
    </row>
    <row r="10" spans="1:7" ht="14.25" x14ac:dyDescent="0.45">
      <c r="A10" s="83" t="s">
        <v>286</v>
      </c>
      <c r="B10" s="80">
        <f>SUM(B11:B17)</f>
        <v>139414.94</v>
      </c>
      <c r="C10" s="80">
        <v>0</v>
      </c>
      <c r="D10" s="80">
        <v>139414.94</v>
      </c>
      <c r="E10" s="80">
        <f>SUM(E11:E17)</f>
        <v>104950.39999999999</v>
      </c>
      <c r="F10" s="80">
        <f>SUM(F11:F17)</f>
        <v>104950.39999999999</v>
      </c>
      <c r="G10" s="80">
        <f>SUM(G11:G17)</f>
        <v>34464.540000000008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1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1"/>
        <v>0</v>
      </c>
    </row>
    <row r="13" spans="1:7" ht="14.25" x14ac:dyDescent="0.4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1"/>
        <v>0</v>
      </c>
    </row>
    <row r="14" spans="1:7" ht="14.25" x14ac:dyDescent="0.4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1"/>
        <v>0</v>
      </c>
    </row>
    <row r="15" spans="1:7" x14ac:dyDescent="0.25">
      <c r="A15" s="84" t="s">
        <v>291</v>
      </c>
      <c r="B15" s="80">
        <v>139414.94</v>
      </c>
      <c r="C15" s="80">
        <v>0</v>
      </c>
      <c r="D15" s="80">
        <v>139414.94</v>
      </c>
      <c r="E15" s="80">
        <v>104950.39999999999</v>
      </c>
      <c r="F15" s="80">
        <v>104950.39999999999</v>
      </c>
      <c r="G15" s="80">
        <f>D15-E15</f>
        <v>34464.540000000008</v>
      </c>
    </row>
    <row r="16" spans="1:7" ht="14.25" x14ac:dyDescent="0.4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1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1"/>
        <v>0</v>
      </c>
    </row>
    <row r="18" spans="1:7" ht="14.25" x14ac:dyDescent="0.45">
      <c r="A18" s="83" t="s">
        <v>294</v>
      </c>
      <c r="B18" s="80">
        <f t="shared" ref="B18:G18" si="2">SUM(B19:B27)</f>
        <v>0</v>
      </c>
      <c r="C18" s="80">
        <f t="shared" si="2"/>
        <v>0</v>
      </c>
      <c r="D18" s="80">
        <f t="shared" si="2"/>
        <v>0</v>
      </c>
      <c r="E18" s="80">
        <f t="shared" si="2"/>
        <v>0</v>
      </c>
      <c r="F18" s="80">
        <f t="shared" si="2"/>
        <v>0</v>
      </c>
      <c r="G18" s="80">
        <f t="shared" si="2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3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3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3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3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3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3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3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3"/>
        <v>0</v>
      </c>
    </row>
    <row r="28" spans="1:7" x14ac:dyDescent="0.25">
      <c r="A28" s="83" t="s">
        <v>304</v>
      </c>
      <c r="B28" s="80">
        <f t="shared" ref="B28:G28" si="4">SUM(B29:B37)</f>
        <v>18234739.060000002</v>
      </c>
      <c r="C28" s="80">
        <f t="shared" si="4"/>
        <v>0</v>
      </c>
      <c r="D28" s="80">
        <f t="shared" si="4"/>
        <v>18234739.060000002</v>
      </c>
      <c r="E28" s="80">
        <f t="shared" si="4"/>
        <v>10191764.279999999</v>
      </c>
      <c r="F28" s="80">
        <f t="shared" si="4"/>
        <v>10191764.279999999</v>
      </c>
      <c r="G28" s="80">
        <f t="shared" si="4"/>
        <v>8042974.7800000003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2640000</v>
      </c>
      <c r="C30" s="80">
        <v>0</v>
      </c>
      <c r="D30" s="80">
        <v>2640000</v>
      </c>
      <c r="E30" s="80">
        <v>1847897.28</v>
      </c>
      <c r="F30" s="80">
        <v>1847897.28</v>
      </c>
      <c r="G30" s="80">
        <f>D30-E30</f>
        <v>792102.72</v>
      </c>
    </row>
    <row r="31" spans="1:7" x14ac:dyDescent="0.25">
      <c r="A31" s="84" t="s">
        <v>307</v>
      </c>
      <c r="B31" s="80">
        <v>15586338.060000001</v>
      </c>
      <c r="C31" s="80">
        <v>0</v>
      </c>
      <c r="D31" s="80">
        <v>15586338.060000001</v>
      </c>
      <c r="E31" s="80">
        <v>8341204.5</v>
      </c>
      <c r="F31" s="80">
        <v>8341204.5</v>
      </c>
      <c r="G31" s="80">
        <f t="shared" ref="G31:G37" si="5">D31-E31</f>
        <v>7245133.5600000005</v>
      </c>
    </row>
    <row r="32" spans="1:7" x14ac:dyDescent="0.25">
      <c r="A32" s="84" t="s">
        <v>308</v>
      </c>
      <c r="B32" s="80">
        <v>8401</v>
      </c>
      <c r="C32" s="80">
        <v>0</v>
      </c>
      <c r="D32" s="80">
        <v>8401</v>
      </c>
      <c r="E32" s="80">
        <v>2662.5</v>
      </c>
      <c r="F32" s="80">
        <v>2662.5</v>
      </c>
      <c r="G32" s="80">
        <f t="shared" si="5"/>
        <v>5738.5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5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5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5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5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5"/>
        <v>0</v>
      </c>
    </row>
    <row r="38" spans="1:7" x14ac:dyDescent="0.25">
      <c r="A38" s="83" t="s">
        <v>314</v>
      </c>
      <c r="B38" s="80">
        <f t="shared" ref="B38:G38" si="6">SUM(B39:B47)</f>
        <v>0</v>
      </c>
      <c r="C38" s="80">
        <f t="shared" si="6"/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7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7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7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7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7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7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7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7"/>
        <v>0</v>
      </c>
    </row>
    <row r="48" spans="1:7" x14ac:dyDescent="0.25">
      <c r="A48" s="83" t="s">
        <v>324</v>
      </c>
      <c r="B48" s="80">
        <f t="shared" ref="B48:G48" si="8">SUM(B49:B57)</f>
        <v>0</v>
      </c>
      <c r="C48" s="80">
        <f t="shared" si="8"/>
        <v>0</v>
      </c>
      <c r="D48" s="80">
        <f t="shared" si="8"/>
        <v>0</v>
      </c>
      <c r="E48" s="80">
        <f t="shared" si="8"/>
        <v>0</v>
      </c>
      <c r="F48" s="80">
        <f t="shared" si="8"/>
        <v>0</v>
      </c>
      <c r="G48" s="80">
        <f t="shared" si="8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9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9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9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9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9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9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9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9"/>
        <v>0</v>
      </c>
    </row>
    <row r="58" spans="1:7" x14ac:dyDescent="0.25">
      <c r="A58" s="83" t="s">
        <v>334</v>
      </c>
      <c r="B58" s="80">
        <f t="shared" ref="B58:G58" si="10">SUM(B59:B61)</f>
        <v>74136012</v>
      </c>
      <c r="C58" s="80">
        <f t="shared" si="10"/>
        <v>0</v>
      </c>
      <c r="D58" s="80">
        <f t="shared" si="10"/>
        <v>74136012</v>
      </c>
      <c r="E58" s="80">
        <f t="shared" si="10"/>
        <v>17984174.760000002</v>
      </c>
      <c r="F58" s="80">
        <f t="shared" si="10"/>
        <v>17984174.760000002</v>
      </c>
      <c r="G58" s="80">
        <f t="shared" si="10"/>
        <v>56151837.239999995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74136012</v>
      </c>
      <c r="C60" s="80">
        <v>0</v>
      </c>
      <c r="D60" s="80">
        <v>74136012</v>
      </c>
      <c r="E60" s="80">
        <v>17984174.760000002</v>
      </c>
      <c r="F60" s="80">
        <v>17984174.760000002</v>
      </c>
      <c r="G60" s="80">
        <f>D60-E60</f>
        <v>56151837.239999995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si="11"/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2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2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2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2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2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2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2"/>
        <v>0</v>
      </c>
    </row>
    <row r="71" spans="1:7" x14ac:dyDescent="0.25">
      <c r="A71" s="83" t="s">
        <v>347</v>
      </c>
      <c r="B71" s="80">
        <f t="shared" ref="B71:G71" si="13">SUM(B72:B74)</f>
        <v>0</v>
      </c>
      <c r="C71" s="80">
        <f t="shared" si="13"/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4">SUM(B76:B82)</f>
        <v>0</v>
      </c>
      <c r="C75" s="80">
        <f t="shared" si="14"/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5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5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5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5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5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6">SUM(B85,B93,B103,B113,B123,B133,B137,B146,B150)</f>
        <v>0</v>
      </c>
      <c r="C84" s="79">
        <f t="shared" si="16"/>
        <v>0</v>
      </c>
      <c r="D84" s="79">
        <f t="shared" si="16"/>
        <v>0</v>
      </c>
      <c r="E84" s="79">
        <f t="shared" si="16"/>
        <v>0</v>
      </c>
      <c r="F84" s="79">
        <f t="shared" si="16"/>
        <v>0</v>
      </c>
      <c r="G84" s="79">
        <f t="shared" si="16"/>
        <v>0</v>
      </c>
    </row>
    <row r="85" spans="1:7" x14ac:dyDescent="0.25">
      <c r="A85" s="83" t="s">
        <v>286</v>
      </c>
      <c r="B85" s="80">
        <f t="shared" ref="B85:G85" si="17">SUM(B86:B92)</f>
        <v>0</v>
      </c>
      <c r="C85" s="80">
        <f t="shared" si="17"/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8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8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8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8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8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8"/>
        <v>0</v>
      </c>
    </row>
    <row r="93" spans="1:7" x14ac:dyDescent="0.25">
      <c r="A93" s="83" t="s">
        <v>294</v>
      </c>
      <c r="B93" s="80">
        <f t="shared" ref="B93:G93" si="19">SUM(B94:B102)</f>
        <v>0</v>
      </c>
      <c r="C93" s="80">
        <f t="shared" si="19"/>
        <v>0</v>
      </c>
      <c r="D93" s="80">
        <f t="shared" si="19"/>
        <v>0</v>
      </c>
      <c r="E93" s="80">
        <f t="shared" si="19"/>
        <v>0</v>
      </c>
      <c r="F93" s="80">
        <f t="shared" si="19"/>
        <v>0</v>
      </c>
      <c r="G93" s="80">
        <f t="shared" si="19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0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0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0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0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0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0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0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0"/>
        <v>0</v>
      </c>
    </row>
    <row r="103" spans="1:7" x14ac:dyDescent="0.25">
      <c r="A103" s="83" t="s">
        <v>304</v>
      </c>
      <c r="B103" s="80">
        <f t="shared" ref="B103:G103" si="21">SUM(B104:B112)</f>
        <v>0</v>
      </c>
      <c r="C103" s="80">
        <f t="shared" si="21"/>
        <v>0</v>
      </c>
      <c r="D103" s="80">
        <f t="shared" si="21"/>
        <v>0</v>
      </c>
      <c r="E103" s="80">
        <f t="shared" si="21"/>
        <v>0</v>
      </c>
      <c r="F103" s="80">
        <f t="shared" si="21"/>
        <v>0</v>
      </c>
      <c r="G103" s="80">
        <f t="shared" si="21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2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2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2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2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2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2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2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2"/>
        <v>0</v>
      </c>
    </row>
    <row r="113" spans="1:7" x14ac:dyDescent="0.25">
      <c r="A113" s="83" t="s">
        <v>314</v>
      </c>
      <c r="B113" s="80">
        <f t="shared" ref="B113:G113" si="23">SUM(B114:B122)</f>
        <v>0</v>
      </c>
      <c r="C113" s="80">
        <f t="shared" si="23"/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4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4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4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4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4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4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4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4"/>
        <v>0</v>
      </c>
    </row>
    <row r="123" spans="1:7" x14ac:dyDescent="0.25">
      <c r="A123" s="83" t="s">
        <v>324</v>
      </c>
      <c r="B123" s="80">
        <f t="shared" ref="B123:G123" si="25">SUM(B124:B132)</f>
        <v>0</v>
      </c>
      <c r="C123" s="80">
        <f t="shared" si="25"/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6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6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6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6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6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6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6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6"/>
        <v>0</v>
      </c>
    </row>
    <row r="133" spans="1:7" x14ac:dyDescent="0.25">
      <c r="A133" s="83" t="s">
        <v>334</v>
      </c>
      <c r="B133" s="80">
        <f t="shared" ref="B133:G133" si="27">SUM(B134:B136)</f>
        <v>0</v>
      </c>
      <c r="C133" s="80">
        <f t="shared" si="27"/>
        <v>0</v>
      </c>
      <c r="D133" s="80">
        <f t="shared" si="27"/>
        <v>0</v>
      </c>
      <c r="E133" s="80">
        <f t="shared" si="27"/>
        <v>0</v>
      </c>
      <c r="F133" s="80">
        <f t="shared" si="27"/>
        <v>0</v>
      </c>
      <c r="G133" s="80">
        <f t="shared" si="27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8">SUM(B138:B142,B144:B145)</f>
        <v>0</v>
      </c>
      <c r="C137" s="80">
        <f t="shared" si="28"/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29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29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9"/>
        <v>0</v>
      </c>
    </row>
    <row r="146" spans="1:7" x14ac:dyDescent="0.25">
      <c r="A146" s="83" t="s">
        <v>347</v>
      </c>
      <c r="B146" s="80">
        <f t="shared" ref="B146:G146" si="30">SUM(B147:B149)</f>
        <v>0</v>
      </c>
      <c r="C146" s="80">
        <f t="shared" si="30"/>
        <v>0</v>
      </c>
      <c r="D146" s="80">
        <f t="shared" si="30"/>
        <v>0</v>
      </c>
      <c r="E146" s="80">
        <f t="shared" si="30"/>
        <v>0</v>
      </c>
      <c r="F146" s="80">
        <f t="shared" si="30"/>
        <v>0</v>
      </c>
      <c r="G146" s="80">
        <f t="shared" si="3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1">SUM(B151:B157)</f>
        <v>0</v>
      </c>
      <c r="C150" s="80">
        <f t="shared" si="31"/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2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2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2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2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2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3">B9+B84</f>
        <v>92510166</v>
      </c>
      <c r="C159" s="79">
        <f t="shared" si="33"/>
        <v>0</v>
      </c>
      <c r="D159" s="79">
        <f t="shared" si="33"/>
        <v>92510166</v>
      </c>
      <c r="E159" s="79">
        <f t="shared" si="33"/>
        <v>28280889.440000001</v>
      </c>
      <c r="F159" s="79">
        <f t="shared" si="33"/>
        <v>28280889.440000001</v>
      </c>
      <c r="G159" s="79">
        <f t="shared" si="33"/>
        <v>64229276.559999995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92510166</v>
      </c>
      <c r="Q2" s="18">
        <f>'Formato 6 a)'!C9</f>
        <v>0</v>
      </c>
      <c r="R2" s="18">
        <f>'Formato 6 a)'!D9</f>
        <v>92510166</v>
      </c>
      <c r="S2" s="18">
        <f>'Formato 6 a)'!E9</f>
        <v>28280889.440000001</v>
      </c>
      <c r="T2" s="18">
        <f>'Formato 6 a)'!F9</f>
        <v>28280889.440000001</v>
      </c>
      <c r="U2" s="18">
        <f>'Formato 6 a)'!G9</f>
        <v>64229276.559999995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139414.94</v>
      </c>
      <c r="Q3" s="18">
        <f>'Formato 6 a)'!C10</f>
        <v>0</v>
      </c>
      <c r="R3" s="18">
        <f>'Formato 6 a)'!D10</f>
        <v>139414.94</v>
      </c>
      <c r="S3" s="18">
        <f>'Formato 6 a)'!E10</f>
        <v>104950.39999999999</v>
      </c>
      <c r="T3" s="18">
        <f>'Formato 6 a)'!F10</f>
        <v>104950.39999999999</v>
      </c>
      <c r="U3" s="18">
        <f>'Formato 6 a)'!G10</f>
        <v>34464.540000000008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139414.94</v>
      </c>
      <c r="Q8" s="18">
        <f>'Formato 6 a)'!C15</f>
        <v>0</v>
      </c>
      <c r="R8" s="18">
        <f>'Formato 6 a)'!D15</f>
        <v>139414.94</v>
      </c>
      <c r="S8" s="18">
        <f>'Formato 6 a)'!E15</f>
        <v>104950.39999999999</v>
      </c>
      <c r="T8" s="18">
        <f>'Formato 6 a)'!F15</f>
        <v>104950.39999999999</v>
      </c>
      <c r="U8" s="18">
        <f>'Formato 6 a)'!G15</f>
        <v>34464.540000000008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18234739.060000002</v>
      </c>
      <c r="Q21" s="18">
        <f>'Formato 6 a)'!C28</f>
        <v>0</v>
      </c>
      <c r="R21" s="18">
        <f>'Formato 6 a)'!D28</f>
        <v>18234739.060000002</v>
      </c>
      <c r="S21" s="18">
        <f>'Formato 6 a)'!E28</f>
        <v>10191764.279999999</v>
      </c>
      <c r="T21" s="18">
        <f>'Formato 6 a)'!F28</f>
        <v>10191764.279999999</v>
      </c>
      <c r="U21" s="18">
        <f>'Formato 6 a)'!G28</f>
        <v>8042974.7800000003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2640000</v>
      </c>
      <c r="Q23" s="18">
        <f>'Formato 6 a)'!C30</f>
        <v>0</v>
      </c>
      <c r="R23" s="18">
        <f>'Formato 6 a)'!D30</f>
        <v>2640000</v>
      </c>
      <c r="S23" s="18">
        <f>'Formato 6 a)'!E30</f>
        <v>1847897.28</v>
      </c>
      <c r="T23" s="18">
        <f>'Formato 6 a)'!F30</f>
        <v>1847897.28</v>
      </c>
      <c r="U23" s="18">
        <f>'Formato 6 a)'!G30</f>
        <v>792102.72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15586338.060000001</v>
      </c>
      <c r="Q24" s="18">
        <f>'Formato 6 a)'!C31</f>
        <v>0</v>
      </c>
      <c r="R24" s="18">
        <f>'Formato 6 a)'!D31</f>
        <v>15586338.060000001</v>
      </c>
      <c r="S24" s="18">
        <f>'Formato 6 a)'!E31</f>
        <v>8341204.5</v>
      </c>
      <c r="T24" s="18">
        <f>'Formato 6 a)'!F31</f>
        <v>8341204.5</v>
      </c>
      <c r="U24" s="18">
        <f>'Formato 6 a)'!G31</f>
        <v>7245133.5600000005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8401</v>
      </c>
      <c r="Q25" s="18">
        <f>'Formato 6 a)'!C32</f>
        <v>0</v>
      </c>
      <c r="R25" s="18">
        <f>'Formato 6 a)'!D32</f>
        <v>8401</v>
      </c>
      <c r="S25" s="18">
        <f>'Formato 6 a)'!E32</f>
        <v>2662.5</v>
      </c>
      <c r="T25" s="18">
        <f>'Formato 6 a)'!F32</f>
        <v>2662.5</v>
      </c>
      <c r="U25" s="18">
        <f>'Formato 6 a)'!G32</f>
        <v>5738.5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74136012</v>
      </c>
      <c r="Q51" s="18">
        <f>'Formato 6 a)'!C58</f>
        <v>0</v>
      </c>
      <c r="R51" s="18">
        <f>'Formato 6 a)'!D58</f>
        <v>74136012</v>
      </c>
      <c r="S51" s="18">
        <f>'Formato 6 a)'!E58</f>
        <v>17984174.760000002</v>
      </c>
      <c r="T51" s="18">
        <f>'Formato 6 a)'!F58</f>
        <v>17984174.760000002</v>
      </c>
      <c r="U51" s="18">
        <f>'Formato 6 a)'!G58</f>
        <v>56151837.239999995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74136012</v>
      </c>
      <c r="Q53" s="18">
        <f>'Formato 6 a)'!C60</f>
        <v>0</v>
      </c>
      <c r="R53" s="18">
        <f>'Formato 6 a)'!D60</f>
        <v>74136012</v>
      </c>
      <c r="S53" s="18">
        <f>'Formato 6 a)'!E60</f>
        <v>17984174.760000002</v>
      </c>
      <c r="T53" s="18">
        <f>'Formato 6 a)'!F60</f>
        <v>17984174.760000002</v>
      </c>
      <c r="U53" s="18">
        <f>'Formato 6 a)'!G60</f>
        <v>56151837.239999995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92510166</v>
      </c>
      <c r="Q150">
        <f>'Formato 6 a)'!C159</f>
        <v>0</v>
      </c>
      <c r="R150">
        <f>'Formato 6 a)'!D159</f>
        <v>92510166</v>
      </c>
      <c r="S150">
        <f>'Formato 6 a)'!E159</f>
        <v>28280889.440000001</v>
      </c>
      <c r="T150">
        <f>'Formato 6 a)'!F159</f>
        <v>28280889.440000001</v>
      </c>
      <c r="U150">
        <f>'Formato 6 a)'!G159</f>
        <v>64229276.559999995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septiembre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ht="14.25" x14ac:dyDescent="0.45">
      <c r="A9" s="52" t="s">
        <v>440</v>
      </c>
      <c r="B9" s="59">
        <f>SUM(B10:GASTO_NE_FIN_01)</f>
        <v>92510166</v>
      </c>
      <c r="C9" s="59">
        <f>SUM(C10:GASTO_NE_FIN_02)</f>
        <v>0</v>
      </c>
      <c r="D9" s="59">
        <f>SUM(D10:GASTO_NE_FIN_03)</f>
        <v>92510166</v>
      </c>
      <c r="E9" s="59">
        <f>SUM(E10:GASTO_NE_FIN_04)</f>
        <v>28280889.440000001</v>
      </c>
      <c r="F9" s="59">
        <f>SUM(F10:GASTO_NE_FIN_05)</f>
        <v>28280889.440000001</v>
      </c>
      <c r="G9" s="59">
        <f>SUM(G10:GASTO_NE_FIN_06)</f>
        <v>64229276.559999995</v>
      </c>
    </row>
    <row r="10" spans="1:7" s="24" customFormat="1" x14ac:dyDescent="0.25">
      <c r="A10" s="146" t="s">
        <v>3302</v>
      </c>
      <c r="B10" s="60">
        <v>139414.94</v>
      </c>
      <c r="C10" s="60">
        <v>0</v>
      </c>
      <c r="D10" s="60">
        <v>139414.94</v>
      </c>
      <c r="E10" s="60">
        <v>104950.39999999999</v>
      </c>
      <c r="F10" s="60">
        <v>104950.39999999999</v>
      </c>
      <c r="G10" s="77">
        <f>D10-E10</f>
        <v>34464.540000000008</v>
      </c>
    </row>
    <row r="11" spans="1:7" s="24" customFormat="1" x14ac:dyDescent="0.25">
      <c r="A11" s="146" t="s">
        <v>3303</v>
      </c>
      <c r="B11" s="60">
        <v>18234739.059999999</v>
      </c>
      <c r="C11" s="60">
        <v>0</v>
      </c>
      <c r="D11" s="60">
        <v>18234739.059999999</v>
      </c>
      <c r="E11" s="60">
        <v>10191764.279999999</v>
      </c>
      <c r="F11" s="60">
        <v>10191764.279999999</v>
      </c>
      <c r="G11" s="77">
        <f t="shared" ref="G11:G17" si="0">D11-E11</f>
        <v>8042974.7799999993</v>
      </c>
    </row>
    <row r="12" spans="1:7" s="24" customFormat="1" x14ac:dyDescent="0.25">
      <c r="A12" s="146" t="s">
        <v>3304</v>
      </c>
      <c r="B12" s="60">
        <v>74136012</v>
      </c>
      <c r="C12" s="60">
        <v>0</v>
      </c>
      <c r="D12" s="60">
        <v>74136012</v>
      </c>
      <c r="E12" s="60">
        <v>17984174.760000002</v>
      </c>
      <c r="F12" s="60">
        <v>17984174.760000002</v>
      </c>
      <c r="G12" s="77">
        <f>D12-E12</f>
        <v>56151837.239999995</v>
      </c>
    </row>
    <row r="13" spans="1:7" s="24" customFormat="1" ht="14.25" x14ac:dyDescent="0.45">
      <c r="A13" s="144" t="s">
        <v>435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77">
        <f t="shared" si="0"/>
        <v>0</v>
      </c>
    </row>
    <row r="14" spans="1:7" s="24" customFormat="1" ht="14.25" x14ac:dyDescent="0.45">
      <c r="A14" s="144" t="s">
        <v>436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77">
        <f t="shared" si="0"/>
        <v>0</v>
      </c>
    </row>
    <row r="15" spans="1:7" s="24" customFormat="1" ht="14.25" x14ac:dyDescent="0.45">
      <c r="A15" s="144" t="s">
        <v>437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77">
        <f t="shared" si="0"/>
        <v>0</v>
      </c>
    </row>
    <row r="16" spans="1:7" s="24" customFormat="1" ht="14.25" x14ac:dyDescent="0.45">
      <c r="A16" s="144" t="s">
        <v>438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77">
        <f t="shared" si="0"/>
        <v>0</v>
      </c>
    </row>
    <row r="17" spans="1:7" s="24" customFormat="1" ht="14.25" x14ac:dyDescent="0.45">
      <c r="A17" s="144" t="s">
        <v>439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>D20-E20</f>
        <v>0</v>
      </c>
    </row>
    <row r="21" spans="1:7" s="24" customFormat="1" ht="14.25" x14ac:dyDescent="0.45">
      <c r="A21" s="144" t="s">
        <v>433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7" s="24" customFormat="1" ht="14.25" x14ac:dyDescent="0.45">
      <c r="A23" s="144" t="s">
        <v>435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7" s="24" customFormat="1" ht="14.25" x14ac:dyDescent="0.45">
      <c r="A24" s="144" t="s">
        <v>436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7" s="24" customFormat="1" ht="14.25" x14ac:dyDescent="0.45">
      <c r="A25" s="144" t="s">
        <v>437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1"/>
        <v>0</v>
      </c>
    </row>
    <row r="26" spans="1:7" s="24" customFormat="1" ht="14.25" x14ac:dyDescent="0.45">
      <c r="A26" s="144" t="s">
        <v>438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1"/>
        <v>0</v>
      </c>
    </row>
    <row r="27" spans="1:7" s="24" customFormat="1" x14ac:dyDescent="0.25">
      <c r="A27" s="144" t="s">
        <v>439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92510166</v>
      </c>
      <c r="C29" s="61">
        <f>GASTO_NE_T2+GASTO_E_T2</f>
        <v>0</v>
      </c>
      <c r="D29" s="61">
        <f>GASTO_NE_T3+GASTO_E_T3</f>
        <v>92510166</v>
      </c>
      <c r="E29" s="61">
        <f>GASTO_NE_T4+GASTO_E_T4</f>
        <v>28280889.440000001</v>
      </c>
      <c r="F29" s="61">
        <f>GASTO_NE_T5+GASTO_E_T5</f>
        <v>28280889.440000001</v>
      </c>
      <c r="G29" s="61">
        <f>GASTO_NE_T6+GASTO_E_T6</f>
        <v>64229276.559999995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92510166</v>
      </c>
      <c r="Q2" s="18">
        <f>GASTO_NE_T2</f>
        <v>0</v>
      </c>
      <c r="R2" s="18">
        <f>GASTO_NE_T3</f>
        <v>92510166</v>
      </c>
      <c r="S2" s="18">
        <f>GASTO_NE_T4</f>
        <v>28280889.440000001</v>
      </c>
      <c r="T2" s="18">
        <f>GASTO_NE_T5</f>
        <v>28280889.440000001</v>
      </c>
      <c r="U2" s="18">
        <f>GASTO_NE_T6</f>
        <v>64229276.559999995</v>
      </c>
    </row>
    <row r="3" spans="1:25" ht="14.25" x14ac:dyDescent="0.4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92510166</v>
      </c>
      <c r="Q4" s="18">
        <f>TOTAL_E_T2</f>
        <v>0</v>
      </c>
      <c r="R4" s="18">
        <f>TOTAL_E_T3</f>
        <v>92510166</v>
      </c>
      <c r="S4" s="18">
        <f>TOTAL_E_T4</f>
        <v>28280889.440000001</v>
      </c>
      <c r="T4" s="18">
        <f>TOTAL_E_T5</f>
        <v>28280889.440000001</v>
      </c>
      <c r="U4" s="18">
        <f>TOTAL_E_T6</f>
        <v>64229276.559999995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3" zoomScale="90" zoomScaleNormal="90" workbookViewId="0">
      <selection activeCell="G78" sqref="G7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ht="14.25" x14ac:dyDescent="0.45">
      <c r="A5" s="157" t="str">
        <f>TRIMESTRE</f>
        <v>Del 1 de enero al 30 de septiembre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ht="14.25" x14ac:dyDescent="0.45">
      <c r="A9" s="52" t="s">
        <v>363</v>
      </c>
      <c r="B9" s="70">
        <f t="shared" ref="B9:G9" si="0">SUM(B10,B19,B27,B37)</f>
        <v>92510166</v>
      </c>
      <c r="C9" s="70">
        <f t="shared" si="0"/>
        <v>0</v>
      </c>
      <c r="D9" s="70">
        <f t="shared" si="0"/>
        <v>92510166</v>
      </c>
      <c r="E9" s="70">
        <f t="shared" si="0"/>
        <v>28280889.440000001</v>
      </c>
      <c r="F9" s="70">
        <f t="shared" si="0"/>
        <v>28280889.440000001</v>
      </c>
      <c r="G9" s="70">
        <f t="shared" si="0"/>
        <v>64229276.560000002</v>
      </c>
    </row>
    <row r="10" spans="1:7" ht="14.25" x14ac:dyDescent="0.4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21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92510166</v>
      </c>
      <c r="C19" s="71">
        <v>0</v>
      </c>
      <c r="D19" s="71">
        <f>SUM(D20:D26)</f>
        <v>92510166</v>
      </c>
      <c r="E19" s="71">
        <f>SUM(E20:E26)</f>
        <v>28280889.440000001</v>
      </c>
      <c r="F19" s="71">
        <f>SUM(F20:F26)</f>
        <v>28280889.440000001</v>
      </c>
      <c r="G19" s="72">
        <f t="shared" si="2"/>
        <v>64229276.560000002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 t="shared" si="2"/>
        <v>0</v>
      </c>
    </row>
    <row r="21" spans="1:7" x14ac:dyDescent="0.25">
      <c r="A21" s="63" t="s">
        <v>375</v>
      </c>
      <c r="B21" s="71">
        <v>92510166</v>
      </c>
      <c r="C21" s="71">
        <v>0</v>
      </c>
      <c r="D21" s="71">
        <v>92510166</v>
      </c>
      <c r="E21" s="71">
        <v>28280889.440000001</v>
      </c>
      <c r="F21" s="71">
        <v>28280889.440000001</v>
      </c>
      <c r="G21" s="72">
        <f t="shared" si="2"/>
        <v>64229276.560000002</v>
      </c>
    </row>
    <row r="22" spans="1:7" ht="14.25" x14ac:dyDescent="0.4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>D22-E22</f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>D23-E23</f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>D24-E24</f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>D25-E25</f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>D26-E26</f>
        <v>0</v>
      </c>
    </row>
    <row r="27" spans="1:7" x14ac:dyDescent="0.25">
      <c r="A27" s="53" t="s">
        <v>381</v>
      </c>
      <c r="B27" s="71">
        <f t="shared" ref="B27:G27" si="3">SUM(B28:B36)</f>
        <v>0</v>
      </c>
      <c r="C27" s="71">
        <f t="shared" si="3"/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 t="shared" si="3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4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4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4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4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4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4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4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4"/>
        <v>0</v>
      </c>
    </row>
    <row r="37" spans="1:7" ht="30" x14ac:dyDescent="0.25">
      <c r="A37" s="64" t="s">
        <v>398</v>
      </c>
      <c r="B37" s="71">
        <f t="shared" ref="B37:G37" si="5">SUM(B38:B41)</f>
        <v>0</v>
      </c>
      <c r="C37" s="71">
        <f t="shared" si="5"/>
        <v>0</v>
      </c>
      <c r="D37" s="71">
        <f t="shared" si="5"/>
        <v>0</v>
      </c>
      <c r="E37" s="71">
        <f t="shared" si="5"/>
        <v>0</v>
      </c>
      <c r="F37" s="71">
        <f t="shared" si="5"/>
        <v>0</v>
      </c>
      <c r="G37" s="71">
        <f t="shared" si="5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6">SUM(B44,B53,B61,B71)</f>
        <v>0</v>
      </c>
      <c r="C43" s="73">
        <f t="shared" si="6"/>
        <v>0</v>
      </c>
      <c r="D43" s="73">
        <f t="shared" si="6"/>
        <v>0</v>
      </c>
      <c r="E43" s="73">
        <f t="shared" si="6"/>
        <v>0</v>
      </c>
      <c r="F43" s="73">
        <f t="shared" si="6"/>
        <v>0</v>
      </c>
      <c r="G43" s="73">
        <f t="shared" si="6"/>
        <v>0</v>
      </c>
    </row>
    <row r="44" spans="1:7" x14ac:dyDescent="0.25">
      <c r="A44" s="53" t="s">
        <v>430</v>
      </c>
      <c r="B44" s="72">
        <f t="shared" ref="B44:G44" si="7">SUM(B45:B52)</f>
        <v>0</v>
      </c>
      <c r="C44" s="72">
        <f t="shared" si="7"/>
        <v>0</v>
      </c>
      <c r="D44" s="72">
        <f t="shared" si="7"/>
        <v>0</v>
      </c>
      <c r="E44" s="72">
        <f t="shared" si="7"/>
        <v>0</v>
      </c>
      <c r="F44" s="72">
        <f t="shared" si="7"/>
        <v>0</v>
      </c>
      <c r="G44" s="72">
        <f t="shared" si="7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8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8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8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8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8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8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8"/>
        <v>0</v>
      </c>
    </row>
    <row r="53" spans="1:7" x14ac:dyDescent="0.25">
      <c r="A53" s="53" t="s">
        <v>373</v>
      </c>
      <c r="B53" s="71">
        <f t="shared" ref="B53:G53" si="9">SUM(B54:B60)</f>
        <v>0</v>
      </c>
      <c r="C53" s="71">
        <f t="shared" si="9"/>
        <v>0</v>
      </c>
      <c r="D53" s="71">
        <f t="shared" si="9"/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0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0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0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0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0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0"/>
        <v>0</v>
      </c>
    </row>
    <row r="61" spans="1:7" x14ac:dyDescent="0.25">
      <c r="A61" s="53" t="s">
        <v>381</v>
      </c>
      <c r="B61" s="71">
        <f t="shared" ref="B61:G61" si="11">SUM(B62:B70)</f>
        <v>0</v>
      </c>
      <c r="C61" s="71">
        <f t="shared" si="11"/>
        <v>0</v>
      </c>
      <c r="D61" s="71">
        <f t="shared" si="11"/>
        <v>0</v>
      </c>
      <c r="E61" s="71">
        <f t="shared" si="11"/>
        <v>0</v>
      </c>
      <c r="F61" s="71">
        <f t="shared" si="11"/>
        <v>0</v>
      </c>
      <c r="G61" s="71">
        <f t="shared" si="11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2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2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2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2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2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2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2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2"/>
        <v>0</v>
      </c>
    </row>
    <row r="71" spans="1:8" x14ac:dyDescent="0.25">
      <c r="A71" s="64" t="s">
        <v>3299</v>
      </c>
      <c r="B71" s="74">
        <f t="shared" ref="B71:G71" si="13">SUM(B72:B75)</f>
        <v>0</v>
      </c>
      <c r="C71" s="74">
        <f t="shared" si="13"/>
        <v>0</v>
      </c>
      <c r="D71" s="74">
        <f t="shared" si="13"/>
        <v>0</v>
      </c>
      <c r="E71" s="74">
        <f t="shared" si="13"/>
        <v>0</v>
      </c>
      <c r="F71" s="74">
        <f t="shared" si="13"/>
        <v>0</v>
      </c>
      <c r="G71" s="74">
        <f t="shared" si="13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4">B43+B9</f>
        <v>92510166</v>
      </c>
      <c r="C77" s="73">
        <f t="shared" si="14"/>
        <v>0</v>
      </c>
      <c r="D77" s="73">
        <f t="shared" si="14"/>
        <v>92510166</v>
      </c>
      <c r="E77" s="73">
        <f t="shared" si="14"/>
        <v>28280889.440000001</v>
      </c>
      <c r="F77" s="73">
        <f t="shared" si="14"/>
        <v>28280889.440000001</v>
      </c>
      <c r="G77" s="73">
        <f t="shared" si="14"/>
        <v>64229276.560000002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74803149606299213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92510166</v>
      </c>
      <c r="Q2" s="18">
        <f>'Formato 6 c)'!C9</f>
        <v>0</v>
      </c>
      <c r="R2" s="18">
        <f>'Formato 6 c)'!D9</f>
        <v>92510166</v>
      </c>
      <c r="S2" s="18">
        <f>'Formato 6 c)'!E9</f>
        <v>28280889.440000001</v>
      </c>
      <c r="T2" s="18">
        <f>'Formato 6 c)'!F9</f>
        <v>28280889.440000001</v>
      </c>
      <c r="U2" s="18">
        <f>'Formato 6 c)'!G9</f>
        <v>64229276.560000002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92510166</v>
      </c>
      <c r="Q12" s="18">
        <f>'Formato 6 c)'!C19</f>
        <v>0</v>
      </c>
      <c r="R12" s="18">
        <f>'Formato 6 c)'!D19</f>
        <v>92510166</v>
      </c>
      <c r="S12" s="18">
        <f>'Formato 6 c)'!E19</f>
        <v>28280889.440000001</v>
      </c>
      <c r="T12" s="18">
        <f>'Formato 6 c)'!F19</f>
        <v>28280889.440000001</v>
      </c>
      <c r="U12" s="18">
        <f>'Formato 6 c)'!G19</f>
        <v>64229276.560000002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92510166</v>
      </c>
      <c r="Q14" s="18">
        <f>'Formato 6 c)'!C21</f>
        <v>0</v>
      </c>
      <c r="R14" s="18">
        <f>'Formato 6 c)'!D21</f>
        <v>92510166</v>
      </c>
      <c r="S14" s="18">
        <f>'Formato 6 c)'!E21</f>
        <v>28280889.440000001</v>
      </c>
      <c r="T14" s="18">
        <f>'Formato 6 c)'!F21</f>
        <v>28280889.440000001</v>
      </c>
      <c r="U14" s="18">
        <f>'Formato 6 c)'!G21</f>
        <v>64229276.560000002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92510166</v>
      </c>
      <c r="Q68" s="18">
        <f>'Formato 6 c)'!C77</f>
        <v>0</v>
      </c>
      <c r="R68" s="18">
        <f>'Formato 6 c)'!D77</f>
        <v>92510166</v>
      </c>
      <c r="S68" s="18">
        <f>'Formato 6 c)'!E77</f>
        <v>28280889.440000001</v>
      </c>
      <c r="T68" s="18">
        <f>'Formato 6 c)'!F77</f>
        <v>28280889.440000001</v>
      </c>
      <c r="U68" s="18">
        <f>'Formato 6 c)'!G77</f>
        <v>64229276.560000002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ht="14.25" x14ac:dyDescent="0.4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2018</v>
      </c>
    </row>
    <row r="14" spans="2:3" ht="14.25" x14ac:dyDescent="0.45">
      <c r="B14" t="s">
        <v>793</v>
      </c>
      <c r="C14" s="24" t="s">
        <v>3306</v>
      </c>
    </row>
    <row r="15" spans="2:3" ht="14.25" x14ac:dyDescent="0.45">
      <c r="C15" s="24">
        <v>3</v>
      </c>
    </row>
    <row r="16" spans="2:3" ht="14.25" x14ac:dyDescent="0.45">
      <c r="C16" s="24" t="s">
        <v>3307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2018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2018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2018 (m = g – l)</v>
      </c>
    </row>
    <row r="20" spans="4:9" ht="57" x14ac:dyDescent="0.45">
      <c r="D20" s="21" t="str">
        <f>CONCATENATE(ANIO_INFORME, " (d)")</f>
        <v>2018 (d)</v>
      </c>
      <c r="E20" s="22" t="str">
        <f>CONCATENATE("31 de diciembre de ",ANIO_INFORME-1, " (e)")</f>
        <v>31 de diciembre de 2017 (e)</v>
      </c>
      <c r="F20" s="31" t="str">
        <f>CONCATENATE("Saldo al 31 de diciembre de ",ANIO_INFORME-1, " (d)")</f>
        <v>Saldo al 31 de diciembre de 2017 (d)</v>
      </c>
    </row>
    <row r="23" spans="4:9" ht="14.25" x14ac:dyDescent="0.45">
      <c r="D23" s="33">
        <f>ANIO_INFORME + 1</f>
        <v>2019</v>
      </c>
      <c r="E23" s="34" t="str">
        <f>CONCATENATE(ANIO_INFORME + 2, " (d)")</f>
        <v>2020 (d)</v>
      </c>
      <c r="F23" s="34" t="str">
        <f>CONCATENATE(ANIO_INFORME + 3, " (d)")</f>
        <v>2021 (d)</v>
      </c>
      <c r="G23" s="34" t="str">
        <f>CONCATENATE(ANIO_INFORME + 4, " (d)")</f>
        <v>2022 (d)</v>
      </c>
      <c r="H23" s="34" t="str">
        <f>CONCATENATE(ANIO_INFORME + 5, " (d)")</f>
        <v>2023 (d)</v>
      </c>
      <c r="I23" s="34" t="str">
        <f>CONCATENATE(ANIO_INFORME + 6, " (d)")</f>
        <v>2024 (d)</v>
      </c>
    </row>
    <row r="25" spans="4:9" x14ac:dyDescent="0.25">
      <c r="D25" s="35" t="str">
        <f>CONCATENATE(ANIO_INFORME - 5, " ",CHAR(185)," (c)")</f>
        <v>2013 ¹ (c)</v>
      </c>
      <c r="E25" s="35" t="str">
        <f>CONCATENATE(ANIO_INFORME - 4, " ",CHAR(185)," (c)")</f>
        <v>2014 ¹ (c)</v>
      </c>
      <c r="F25" s="35" t="str">
        <f>CONCATENATE(ANIO_INFORME - 3, " ",CHAR(185)," (c)")</f>
        <v>2015 ¹ (c)</v>
      </c>
      <c r="G25" s="35" t="str">
        <f>CONCATENATE(ANIO_INFORME - 2, " ",CHAR(185)," (c)")</f>
        <v>2016 ¹ (c)</v>
      </c>
      <c r="H25" s="35" t="str">
        <f>CONCATENATE(ANIO_INFORME - 1, " ",CHAR(185)," (c)")</f>
        <v>2017 ¹ (c)</v>
      </c>
      <c r="I25" s="33">
        <f>ANIO_INFORME</f>
        <v>2018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7" zoomScale="90" zoomScaleNormal="90" workbookViewId="0">
      <selection activeCell="E1048576" sqref="E104857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ht="14.25" x14ac:dyDescent="0.45">
      <c r="A5" s="157" t="str">
        <f>TRIMESTRE</f>
        <v>Del 1 de enero al 30 de septiembre de 2018 (b)</v>
      </c>
      <c r="B5" s="158"/>
      <c r="C5" s="158"/>
      <c r="D5" s="158"/>
      <c r="E5" s="158"/>
      <c r="F5" s="158"/>
      <c r="G5" s="159"/>
    </row>
    <row r="6" spans="1:7" ht="14.25" x14ac:dyDescent="0.4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ht="14.25" x14ac:dyDescent="0.45">
      <c r="A9" s="52" t="s">
        <v>400</v>
      </c>
      <c r="B9" s="66">
        <f t="shared" ref="B9:G9" si="0">SUM(B10,B11,B12,B15,B16,B19)</f>
        <v>139414.94</v>
      </c>
      <c r="C9" s="66">
        <f t="shared" si="0"/>
        <v>0</v>
      </c>
      <c r="D9" s="66">
        <f t="shared" si="0"/>
        <v>139414.94</v>
      </c>
      <c r="E9" s="66">
        <f t="shared" si="0"/>
        <v>104950.39999999999</v>
      </c>
      <c r="F9" s="66">
        <f t="shared" si="0"/>
        <v>104950.39999999999</v>
      </c>
      <c r="G9" s="66">
        <f t="shared" si="0"/>
        <v>34464.540000000008</v>
      </c>
    </row>
    <row r="10" spans="1:7" x14ac:dyDescent="0.25">
      <c r="A10" s="53" t="s">
        <v>401</v>
      </c>
      <c r="B10" s="67">
        <v>139414.94</v>
      </c>
      <c r="C10" s="67">
        <v>0</v>
      </c>
      <c r="D10" s="67">
        <v>139414.94</v>
      </c>
      <c r="E10" s="67">
        <v>104950.39999999999</v>
      </c>
      <c r="F10" s="67">
        <v>104950.39999999999</v>
      </c>
      <c r="G10" s="67">
        <f>D10-E10</f>
        <v>34464.540000000008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ht="14.25" x14ac:dyDescent="0.4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ht="14.25" x14ac:dyDescent="0.4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ht="14.25" x14ac:dyDescent="0.4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ht="14.25" x14ac:dyDescent="0.4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ht="14.25" x14ac:dyDescent="0.4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ht="14.25" x14ac:dyDescent="0.4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139414.94</v>
      </c>
      <c r="C33" s="66">
        <f t="shared" si="6"/>
        <v>0</v>
      </c>
      <c r="D33" s="66">
        <f t="shared" si="6"/>
        <v>139414.94</v>
      </c>
      <c r="E33" s="66">
        <f t="shared" si="6"/>
        <v>104950.39999999999</v>
      </c>
      <c r="F33" s="66">
        <f t="shared" si="6"/>
        <v>104950.39999999999</v>
      </c>
      <c r="G33" s="66">
        <f t="shared" si="6"/>
        <v>34464.540000000008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139414.94</v>
      </c>
      <c r="Q2" s="18">
        <f>'Formato 6 d)'!C9</f>
        <v>0</v>
      </c>
      <c r="R2" s="18">
        <f>'Formato 6 d)'!D9</f>
        <v>139414.94</v>
      </c>
      <c r="S2" s="18">
        <f>'Formato 6 d)'!E9</f>
        <v>104950.39999999999</v>
      </c>
      <c r="T2" s="18">
        <f>'Formato 6 d)'!F9</f>
        <v>104950.39999999999</v>
      </c>
      <c r="U2" s="18">
        <f>'Formato 6 d)'!G9</f>
        <v>34464.540000000008</v>
      </c>
    </row>
    <row r="3" spans="1:25" ht="14.25" x14ac:dyDescent="0.4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139414.94</v>
      </c>
      <c r="Q3" s="18">
        <f>'Formato 6 d)'!C10</f>
        <v>0</v>
      </c>
      <c r="R3" s="18">
        <f>'Formato 6 d)'!D10</f>
        <v>139414.94</v>
      </c>
      <c r="S3" s="18">
        <f>'Formato 6 d)'!E10</f>
        <v>104950.39999999999</v>
      </c>
      <c r="T3" s="18">
        <f>'Formato 6 d)'!F10</f>
        <v>104950.39999999999</v>
      </c>
      <c r="U3" s="18">
        <f>'Formato 6 d)'!G10</f>
        <v>34464.540000000008</v>
      </c>
      <c r="V3" s="18"/>
    </row>
    <row r="4" spans="1:25" ht="14.25" x14ac:dyDescent="0.4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139414.94</v>
      </c>
      <c r="Q24" s="18">
        <f>'Formato 6 d)'!C33</f>
        <v>0</v>
      </c>
      <c r="R24" s="18">
        <f>'Formato 6 d)'!D33</f>
        <v>139414.94</v>
      </c>
      <c r="S24" s="18">
        <f>'Formato 6 d)'!E33</f>
        <v>104950.39999999999</v>
      </c>
      <c r="T24" s="18">
        <f>'Formato 6 d)'!F33</f>
        <v>104950.39999999999</v>
      </c>
      <c r="U24" s="18">
        <f>'Formato 6 d)'!G33</f>
        <v>34464.540000000008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14" sqref="B14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69" t="s">
        <v>413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414</v>
      </c>
      <c r="B3" s="155"/>
      <c r="C3" s="155"/>
      <c r="D3" s="155"/>
      <c r="E3" s="155"/>
      <c r="F3" s="155"/>
      <c r="G3" s="156"/>
    </row>
    <row r="4" spans="1:7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26769375.489999987</v>
      </c>
      <c r="D8" s="59">
        <f t="shared" si="0"/>
        <v>28658452.695999987</v>
      </c>
      <c r="E8" s="59">
        <f t="shared" si="0"/>
        <v>30547529.90199998</v>
      </c>
      <c r="F8" s="59">
        <f t="shared" si="0"/>
        <v>32436607.10799998</v>
      </c>
      <c r="G8" s="59">
        <f t="shared" si="0"/>
        <v>34325684.313999973</v>
      </c>
    </row>
    <row r="9" spans="1:7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14.25" x14ac:dyDescent="0.4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ht="14.25" x14ac:dyDescent="0.4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14.25" x14ac:dyDescent="0.4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26769375.489999987</v>
      </c>
      <c r="D15" s="60">
        <v>28658452.695999987</v>
      </c>
      <c r="E15" s="60">
        <v>30547529.90199998</v>
      </c>
      <c r="F15" s="60">
        <v>32436607.10799998</v>
      </c>
      <c r="G15" s="60">
        <v>34325684.313999973</v>
      </c>
    </row>
    <row r="16" spans="1:7" ht="14.25" x14ac:dyDescent="0.4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ht="14.25" x14ac:dyDescent="0.4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ht="14.25" x14ac:dyDescent="0.4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14.25" x14ac:dyDescent="0.4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14.25" x14ac:dyDescent="0.4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26769375.489999987</v>
      </c>
      <c r="D32" s="61">
        <f t="shared" si="3"/>
        <v>28658452.695999987</v>
      </c>
      <c r="E32" s="61">
        <f t="shared" si="3"/>
        <v>30547529.90199998</v>
      </c>
      <c r="F32" s="61">
        <f t="shared" si="3"/>
        <v>32436607.10799998</v>
      </c>
      <c r="G32" s="61">
        <f t="shared" si="3"/>
        <v>34325684.313999973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26769375.489999987</v>
      </c>
      <c r="R2" s="18">
        <f>'Formato 7 a)'!D8</f>
        <v>28658452.695999987</v>
      </c>
      <c r="S2" s="18">
        <f>'Formato 7 a)'!E8</f>
        <v>30547529.90199998</v>
      </c>
      <c r="T2" s="18">
        <f>'Formato 7 a)'!F8</f>
        <v>32436607.10799998</v>
      </c>
      <c r="U2" s="18">
        <f>'Formato 7 a)'!G8</f>
        <v>34325684.313999973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26769375.489999987</v>
      </c>
      <c r="R9" s="18">
        <f>'Formato 7 a)'!D15</f>
        <v>28658452.695999987</v>
      </c>
      <c r="S9" s="18">
        <f>'Formato 7 a)'!E15</f>
        <v>30547529.90199998</v>
      </c>
      <c r="T9" s="18">
        <f>'Formato 7 a)'!F15</f>
        <v>32436607.10799998</v>
      </c>
      <c r="U9" s="18">
        <f>'Formato 7 a)'!G15</f>
        <v>34325684.313999973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26769375.489999987</v>
      </c>
      <c r="R23" s="18">
        <f>'Formato 7 a)'!D32</f>
        <v>28658452.695999987</v>
      </c>
      <c r="S23" s="18">
        <f>'Formato 7 a)'!E32</f>
        <v>30547529.90199998</v>
      </c>
      <c r="T23" s="18">
        <f>'Formato 7 a)'!F32</f>
        <v>32436607.10799998</v>
      </c>
      <c r="U23" s="18">
        <f>'Formato 7 a)'!G32</f>
        <v>34325684.313999973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2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69" t="s">
        <v>451</v>
      </c>
      <c r="B1" s="169"/>
      <c r="C1" s="169"/>
      <c r="D1" s="169"/>
      <c r="E1" s="169"/>
      <c r="F1" s="169"/>
      <c r="G1" s="169"/>
    </row>
    <row r="2" spans="1:7" customFormat="1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ht="14.25" x14ac:dyDescent="0.45">
      <c r="A3" s="154" t="s">
        <v>452</v>
      </c>
      <c r="B3" s="155"/>
      <c r="C3" s="155"/>
      <c r="D3" s="155"/>
      <c r="E3" s="155"/>
      <c r="F3" s="155"/>
      <c r="G3" s="156"/>
    </row>
    <row r="4" spans="1:7" customFormat="1" ht="14.25" x14ac:dyDescent="0.45">
      <c r="A4" s="154" t="s">
        <v>118</v>
      </c>
      <c r="B4" s="155"/>
      <c r="C4" s="155"/>
      <c r="D4" s="155"/>
      <c r="E4" s="155"/>
      <c r="F4" s="155"/>
      <c r="G4" s="156"/>
    </row>
    <row r="5" spans="1:7" customFormat="1" ht="14.25" x14ac:dyDescent="0.4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2019</v>
      </c>
      <c r="C6" s="179" t="str">
        <f>ANIO2P</f>
        <v>2020 (d)</v>
      </c>
      <c r="D6" s="179" t="str">
        <f>ANIO3P</f>
        <v>2021 (d)</v>
      </c>
      <c r="E6" s="179" t="str">
        <f>ANIO4P</f>
        <v>2022 (d)</v>
      </c>
      <c r="F6" s="179" t="str">
        <f>ANIO5P</f>
        <v>2023 (d)</v>
      </c>
      <c r="G6" s="179" t="str">
        <f>ANIO6P</f>
        <v>2024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24880298.280000001</v>
      </c>
      <c r="C8" s="59">
        <f t="shared" si="0"/>
        <v>26769375.490000002</v>
      </c>
      <c r="D8" s="59">
        <f t="shared" si="0"/>
        <v>28658452.699999999</v>
      </c>
      <c r="E8" s="59">
        <f t="shared" si="0"/>
        <v>30547529.899999999</v>
      </c>
      <c r="F8" s="59">
        <f t="shared" si="0"/>
        <v>32436607.109999999</v>
      </c>
      <c r="G8" s="59">
        <f t="shared" si="0"/>
        <v>34325684.310000002</v>
      </c>
    </row>
    <row r="9" spans="1:7" x14ac:dyDescent="0.25">
      <c r="A9" s="53" t="s">
        <v>454</v>
      </c>
      <c r="B9" s="60">
        <v>152494.59</v>
      </c>
      <c r="C9" s="60">
        <v>159874.04999999999</v>
      </c>
      <c r="D9" s="60">
        <v>167253.51999999999</v>
      </c>
      <c r="E9" s="60">
        <v>174632.98</v>
      </c>
      <c r="F9" s="60">
        <v>182012.45</v>
      </c>
      <c r="G9" s="60">
        <v>189391.92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12697245.939999999</v>
      </c>
      <c r="C11" s="60">
        <v>13311686.800000001</v>
      </c>
      <c r="D11" s="60">
        <v>13926127.66</v>
      </c>
      <c r="E11" s="60">
        <v>14540568.52</v>
      </c>
      <c r="F11" s="60">
        <v>15155009.380000001</v>
      </c>
      <c r="G11" s="60">
        <v>15769450.23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12030557.75</v>
      </c>
      <c r="C14" s="60">
        <v>13297814.640000001</v>
      </c>
      <c r="D14" s="60">
        <v>14565071.52</v>
      </c>
      <c r="E14" s="60">
        <v>15832328.4</v>
      </c>
      <c r="F14" s="60">
        <v>17099585.280000001</v>
      </c>
      <c r="G14" s="60">
        <v>18366842.16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24880298.280000001</v>
      </c>
      <c r="C30" s="61">
        <f t="shared" si="2"/>
        <v>26769375.490000002</v>
      </c>
      <c r="D30" s="61">
        <f t="shared" si="2"/>
        <v>28658452.699999999</v>
      </c>
      <c r="E30" s="61">
        <f t="shared" si="2"/>
        <v>30547529.899999999</v>
      </c>
      <c r="F30" s="61">
        <f t="shared" si="2"/>
        <v>32436607.109999999</v>
      </c>
      <c r="G30" s="61">
        <f t="shared" si="2"/>
        <v>34325684.310000002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24880298.280000001</v>
      </c>
      <c r="Q2" s="18">
        <f>'Formato 7 b)'!C8</f>
        <v>26769375.490000002</v>
      </c>
      <c r="R2" s="18">
        <f>'Formato 7 b)'!D8</f>
        <v>28658452.699999999</v>
      </c>
      <c r="S2" s="18">
        <f>'Formato 7 b)'!E8</f>
        <v>30547529.899999999</v>
      </c>
      <c r="T2" s="18">
        <f>'Formato 7 b)'!F8</f>
        <v>32436607.109999999</v>
      </c>
      <c r="U2" s="18">
        <f>'Formato 7 b)'!G8</f>
        <v>34325684.310000002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152494.59</v>
      </c>
      <c r="Q3" s="18">
        <f>'Formato 7 b)'!C9</f>
        <v>159874.04999999999</v>
      </c>
      <c r="R3" s="18">
        <f>'Formato 7 b)'!D9</f>
        <v>167253.51999999999</v>
      </c>
      <c r="S3" s="18">
        <f>'Formato 7 b)'!E9</f>
        <v>174632.98</v>
      </c>
      <c r="T3" s="18">
        <f>'Formato 7 b)'!F9</f>
        <v>182012.45</v>
      </c>
      <c r="U3" s="18">
        <f>'Formato 7 b)'!G9</f>
        <v>189391.92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12697245.939999999</v>
      </c>
      <c r="Q5" s="18">
        <f>'Formato 7 b)'!C11</f>
        <v>13311686.800000001</v>
      </c>
      <c r="R5" s="18">
        <f>'Formato 7 b)'!D11</f>
        <v>13926127.66</v>
      </c>
      <c r="S5" s="18">
        <f>'Formato 7 b)'!E11</f>
        <v>14540568.52</v>
      </c>
      <c r="T5" s="18">
        <f>'Formato 7 b)'!F11</f>
        <v>15155009.380000001</v>
      </c>
      <c r="U5" s="18">
        <f>'Formato 7 b)'!G11</f>
        <v>15769450.23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12030557.75</v>
      </c>
      <c r="Q8" s="18">
        <f>'Formato 7 b)'!C14</f>
        <v>13297814.640000001</v>
      </c>
      <c r="R8" s="18">
        <f>'Formato 7 b)'!D14</f>
        <v>14565071.52</v>
      </c>
      <c r="S8" s="18">
        <f>'Formato 7 b)'!E14</f>
        <v>15832328.4</v>
      </c>
      <c r="T8" s="18">
        <f>'Formato 7 b)'!F14</f>
        <v>17099585.280000001</v>
      </c>
      <c r="U8" s="18">
        <f>'Formato 7 b)'!G14</f>
        <v>18366842.16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24880298.280000001</v>
      </c>
      <c r="Q22" s="18">
        <f>'Formato 7 b)'!C30</f>
        <v>26769375.490000002</v>
      </c>
      <c r="R22" s="18">
        <f>'Formato 7 b)'!D30</f>
        <v>28658452.699999999</v>
      </c>
      <c r="S22" s="18">
        <f>'Formato 7 b)'!E30</f>
        <v>30547529.899999999</v>
      </c>
      <c r="T22" s="18">
        <f>'Formato 7 b)'!F30</f>
        <v>32436607.109999999</v>
      </c>
      <c r="U22" s="18">
        <f>'Formato 7 b)'!G30</f>
        <v>34325684.310000002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B5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466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467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6" t="s">
        <v>3288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7"/>
      <c r="B6" s="185"/>
      <c r="C6" s="185"/>
      <c r="D6" s="185"/>
      <c r="E6" s="185"/>
      <c r="F6" s="185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0</v>
      </c>
      <c r="D7" s="59">
        <f t="shared" si="0"/>
        <v>66363655.439999998</v>
      </c>
      <c r="E7" s="59">
        <f t="shared" si="0"/>
        <v>77664226.510000005</v>
      </c>
      <c r="F7" s="59">
        <f t="shared" si="0"/>
        <v>130684638.52</v>
      </c>
      <c r="G7" s="59">
        <f t="shared" si="0"/>
        <v>45741546.450000003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1758329.58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21320203.879999999</v>
      </c>
      <c r="E14" s="60">
        <v>19933482.620000001</v>
      </c>
      <c r="F14" s="60">
        <v>24453039.629999999</v>
      </c>
      <c r="G14" s="60">
        <v>19579777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45043451.560000002</v>
      </c>
      <c r="E18" s="60">
        <v>57730743.890000001</v>
      </c>
      <c r="F18" s="60">
        <v>106231598.89</v>
      </c>
      <c r="G18" s="60">
        <v>24403439.870000001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0</v>
      </c>
      <c r="D31" s="61">
        <f t="shared" si="3"/>
        <v>66363655.439999998</v>
      </c>
      <c r="E31" s="61">
        <f t="shared" si="3"/>
        <v>77664226.510000005</v>
      </c>
      <c r="F31" s="61">
        <f t="shared" si="3"/>
        <v>130684638.52</v>
      </c>
      <c r="G31" s="61">
        <f t="shared" si="3"/>
        <v>45741546.450000003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3" t="s">
        <v>3292</v>
      </c>
      <c r="B39" s="183"/>
      <c r="C39" s="183"/>
      <c r="D39" s="183"/>
      <c r="E39" s="183"/>
      <c r="F39" s="183"/>
      <c r="G39" s="183"/>
    </row>
    <row r="40" spans="1:7" ht="15" customHeight="1" x14ac:dyDescent="0.25">
      <c r="A40" s="183" t="s">
        <v>3293</v>
      </c>
      <c r="B40" s="183"/>
      <c r="C40" s="183"/>
      <c r="D40" s="183"/>
      <c r="E40" s="183"/>
      <c r="F40" s="183"/>
      <c r="G40" s="183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66363655.439999998</v>
      </c>
      <c r="S2" s="18">
        <f>'Formato 7 c)'!E7</f>
        <v>77664226.510000005</v>
      </c>
      <c r="T2" s="18">
        <f>'Formato 7 c)'!F7</f>
        <v>130684638.52</v>
      </c>
      <c r="U2" s="18">
        <f>'Formato 7 c)'!G7</f>
        <v>45741546.450000003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1758329.58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21320203.879999999</v>
      </c>
      <c r="S9" s="18">
        <f>'Formato 7 c)'!E14</f>
        <v>19933482.620000001</v>
      </c>
      <c r="T9" s="18">
        <f>'Formato 7 c)'!F14</f>
        <v>24453039.629999999</v>
      </c>
      <c r="U9" s="18">
        <f>'Formato 7 c)'!G14</f>
        <v>19579777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45043451.560000002</v>
      </c>
      <c r="S13" s="18">
        <f>'Formato 7 c)'!E18</f>
        <v>57730743.890000001</v>
      </c>
      <c r="T13" s="18">
        <f>'Formato 7 c)'!F18</f>
        <v>106231598.89</v>
      </c>
      <c r="U13" s="18">
        <f>'Formato 7 c)'!G18</f>
        <v>24403439.870000001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66363655.439999998</v>
      </c>
      <c r="S23" s="18">
        <f>'Formato 7 c)'!E31</f>
        <v>77664226.510000005</v>
      </c>
      <c r="T23" s="18">
        <f>'Formato 7 c)'!F31</f>
        <v>130684638.52</v>
      </c>
      <c r="U23" s="18">
        <f>'Formato 7 c)'!G31</f>
        <v>45741546.450000003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7" zoomScale="90" zoomScaleNormal="90" workbookViewId="0">
      <selection activeCell="G7" sqref="G7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69" t="s">
        <v>490</v>
      </c>
      <c r="B1" s="169"/>
      <c r="C1" s="169"/>
      <c r="D1" s="169"/>
      <c r="E1" s="169"/>
      <c r="F1" s="169"/>
      <c r="G1" s="169"/>
    </row>
    <row r="2" spans="1:7" ht="14.25" x14ac:dyDescent="0.4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ht="14.25" x14ac:dyDescent="0.45">
      <c r="A3" s="154" t="s">
        <v>491</v>
      </c>
      <c r="B3" s="155"/>
      <c r="C3" s="155"/>
      <c r="D3" s="155"/>
      <c r="E3" s="155"/>
      <c r="F3" s="155"/>
      <c r="G3" s="156"/>
    </row>
    <row r="4" spans="1:7" ht="14.25" x14ac:dyDescent="0.4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4" t="str">
        <f>ANIO5R</f>
        <v>2013 ¹ (c)</v>
      </c>
      <c r="C5" s="184" t="str">
        <f>ANIO4R</f>
        <v>2014 ¹ (c)</v>
      </c>
      <c r="D5" s="184" t="str">
        <f>ANIO3R</f>
        <v>2015 ¹ (c)</v>
      </c>
      <c r="E5" s="184" t="str">
        <f>ANIO2R</f>
        <v>2016 ¹ (c)</v>
      </c>
      <c r="F5" s="184" t="str">
        <f>ANIO1R</f>
        <v>2017 ¹ (c)</v>
      </c>
      <c r="G5" s="51">
        <f>ANIO_INFORME</f>
        <v>2018</v>
      </c>
    </row>
    <row r="6" spans="1:7" ht="32.1" customHeight="1" x14ac:dyDescent="0.25">
      <c r="A6" s="189"/>
      <c r="B6" s="185"/>
      <c r="C6" s="185"/>
      <c r="D6" s="185"/>
      <c r="E6" s="185"/>
      <c r="F6" s="185"/>
      <c r="G6" s="88" t="s">
        <v>3295</v>
      </c>
    </row>
    <row r="7" spans="1:7" ht="14.25" x14ac:dyDescent="0.45">
      <c r="A7" s="52" t="s">
        <v>492</v>
      </c>
      <c r="B7" s="59">
        <f t="shared" ref="B7:G7" si="0">SUM(B8:B16)</f>
        <v>0</v>
      </c>
      <c r="C7" s="59">
        <f t="shared" si="0"/>
        <v>0</v>
      </c>
      <c r="D7" s="59">
        <f t="shared" si="0"/>
        <v>40645365.980000004</v>
      </c>
      <c r="E7" s="59">
        <f t="shared" si="0"/>
        <v>46338961.770000003</v>
      </c>
      <c r="F7" s="59">
        <f t="shared" si="0"/>
        <v>87657478</v>
      </c>
      <c r="G7" s="59">
        <f t="shared" si="0"/>
        <v>28280889.440000001</v>
      </c>
    </row>
    <row r="8" spans="1:7" x14ac:dyDescent="0.25">
      <c r="A8" s="53" t="s">
        <v>454</v>
      </c>
      <c r="B8" s="60">
        <v>0</v>
      </c>
      <c r="C8" s="60">
        <v>0</v>
      </c>
      <c r="D8" s="60">
        <v>107311.66</v>
      </c>
      <c r="E8" s="60">
        <v>128436.67</v>
      </c>
      <c r="F8" s="60">
        <v>132906</v>
      </c>
      <c r="G8" s="60">
        <v>104950.39999999999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0</v>
      </c>
      <c r="D10" s="60">
        <v>9742623.1500000004</v>
      </c>
      <c r="E10" s="60">
        <v>11688776.5</v>
      </c>
      <c r="F10" s="60">
        <v>11066230</v>
      </c>
      <c r="G10" s="60">
        <v>10191764.279999999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0</v>
      </c>
      <c r="D13" s="60">
        <v>30795431.170000002</v>
      </c>
      <c r="E13" s="60">
        <v>34521748.600000001</v>
      </c>
      <c r="F13" s="60">
        <v>76458342</v>
      </c>
      <c r="G13" s="60">
        <v>17984174.760000002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0</v>
      </c>
      <c r="D29" s="60">
        <f t="shared" si="2"/>
        <v>40645365.980000004</v>
      </c>
      <c r="E29" s="60">
        <f t="shared" si="2"/>
        <v>46338961.770000003</v>
      </c>
      <c r="F29" s="60">
        <f t="shared" si="2"/>
        <v>87657478</v>
      </c>
      <c r="G29" s="60">
        <f t="shared" si="2"/>
        <v>28280889.440000001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3" t="s">
        <v>3292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3293</v>
      </c>
      <c r="B33" s="183"/>
      <c r="C33" s="183"/>
      <c r="D33" s="183"/>
      <c r="E33" s="183"/>
      <c r="F33" s="183"/>
      <c r="G33" s="183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40645365.980000004</v>
      </c>
      <c r="S2" s="18">
        <f>'Formato 7 d)'!E7</f>
        <v>46338961.770000003</v>
      </c>
      <c r="T2" s="18">
        <f>'Formato 7 d)'!F7</f>
        <v>87657478</v>
      </c>
      <c r="U2" s="18">
        <f>'Formato 7 d)'!G7</f>
        <v>28280889.440000001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107311.66</v>
      </c>
      <c r="S3" s="18">
        <f>'Formato 7 d)'!E8</f>
        <v>128436.67</v>
      </c>
      <c r="T3" s="18">
        <f>'Formato 7 d)'!F8</f>
        <v>132906</v>
      </c>
      <c r="U3" s="18">
        <f>'Formato 7 d)'!G8</f>
        <v>104950.39999999999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9742623.1500000004</v>
      </c>
      <c r="S5" s="18">
        <f>'Formato 7 d)'!E10</f>
        <v>11688776.5</v>
      </c>
      <c r="T5" s="18">
        <f>'Formato 7 d)'!F10</f>
        <v>11066230</v>
      </c>
      <c r="U5" s="18">
        <f>'Formato 7 d)'!G10</f>
        <v>10191764.279999999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30795431.170000002</v>
      </c>
      <c r="S8" s="18">
        <f>'Formato 7 d)'!E13</f>
        <v>34521748.600000001</v>
      </c>
      <c r="T8" s="18">
        <f>'Formato 7 d)'!F13</f>
        <v>76458342</v>
      </c>
      <c r="U8" s="18">
        <f>'Formato 7 d)'!G13</f>
        <v>17984174.760000002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40645365.980000004</v>
      </c>
      <c r="S22" s="18">
        <f>'Formato 7 d)'!E29</f>
        <v>46338961.770000003</v>
      </c>
      <c r="T22" s="18">
        <f>'Formato 7 d)'!F29</f>
        <v>87657478</v>
      </c>
      <c r="U22" s="18">
        <f>'Formato 7 d)'!G29</f>
        <v>28280889.440000001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41" zoomScale="90" zoomScaleNormal="90" workbookViewId="0">
      <selection activeCell="B61" sqref="B61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ht="14.25" x14ac:dyDescent="0.4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ht="14.25" x14ac:dyDescent="0.45">
      <c r="A3" s="160" t="s">
        <v>496</v>
      </c>
      <c r="B3" s="161"/>
      <c r="C3" s="161"/>
      <c r="D3" s="161"/>
      <c r="E3" s="161"/>
      <c r="F3" s="162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ht="14.25" x14ac:dyDescent="0.4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ht="14.25" x14ac:dyDescent="0.4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ht="14.25" x14ac:dyDescent="0.4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ht="14.25" x14ac:dyDescent="0.4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ht="14.25" x14ac:dyDescent="0.4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ht="14.25" x14ac:dyDescent="0.4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5" zoomScale="90" zoomScaleNormal="9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ht="14.25" x14ac:dyDescent="0.45">
      <c r="A4" s="157" t="str">
        <f>PERIODO_INFORME</f>
        <v>Al 31 de diciembre de 2017 y al 30 de septiembre de 2018 (b)</v>
      </c>
      <c r="B4" s="158"/>
      <c r="C4" s="158"/>
      <c r="D4" s="158"/>
      <c r="E4" s="158"/>
      <c r="F4" s="159"/>
    </row>
    <row r="5" spans="1:6" ht="14.25" x14ac:dyDescent="0.45">
      <c r="A5" s="160" t="s">
        <v>118</v>
      </c>
      <c r="B5" s="161"/>
      <c r="C5" s="161"/>
      <c r="D5" s="161"/>
      <c r="E5" s="161"/>
      <c r="F5" s="162"/>
    </row>
    <row r="6" spans="1:6" s="3" customFormat="1" ht="28.5" x14ac:dyDescent="0.45">
      <c r="A6" s="133" t="s">
        <v>3284</v>
      </c>
      <c r="B6" s="134" t="str">
        <f>ANIO</f>
        <v>2018 (d)</v>
      </c>
      <c r="C6" s="131" t="str">
        <f>ULTIMO</f>
        <v>31 de diciembre de 2017 (e)</v>
      </c>
      <c r="D6" s="135" t="s">
        <v>0</v>
      </c>
      <c r="E6" s="134" t="str">
        <f>ANIO</f>
        <v>2018 (d)</v>
      </c>
      <c r="F6" s="131" t="str">
        <f>ULTIMO</f>
        <v>31 de diciembre de 2017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27039827.609999999</v>
      </c>
      <c r="C9" s="60">
        <f>SUM(C10:C16)</f>
        <v>17991490.43</v>
      </c>
      <c r="D9" s="100" t="s">
        <v>54</v>
      </c>
      <c r="E9" s="60">
        <f>SUM(E10:E18)</f>
        <v>35728202.07</v>
      </c>
      <c r="F9" s="60">
        <f>SUM(F10:F18)</f>
        <v>101639907.09</v>
      </c>
    </row>
    <row r="10" spans="1:6" ht="14.25" x14ac:dyDescent="0.4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22447419.609999999</v>
      </c>
      <c r="C11" s="60">
        <v>6023583.21</v>
      </c>
      <c r="D11" s="101" t="s">
        <v>56</v>
      </c>
      <c r="E11" s="60">
        <v>466740.87</v>
      </c>
      <c r="F11" s="60">
        <v>200498.1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13393681.68</v>
      </c>
      <c r="F12" s="60">
        <v>55245839.789999999</v>
      </c>
    </row>
    <row r="13" spans="1:6" ht="14.25" x14ac:dyDescent="0.4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4592408</v>
      </c>
      <c r="C14" s="60">
        <v>11967907.220000001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ht="14.25" x14ac:dyDescent="0.45">
      <c r="A16" s="96" t="s">
        <v>10</v>
      </c>
      <c r="B16" s="60">
        <v>0</v>
      </c>
      <c r="C16" s="60">
        <v>0</v>
      </c>
      <c r="D16" s="101" t="s">
        <v>61</v>
      </c>
      <c r="E16" s="60">
        <v>264469.48</v>
      </c>
      <c r="F16" s="60">
        <v>247770.39</v>
      </c>
    </row>
    <row r="17" spans="1:6" ht="14.25" x14ac:dyDescent="0.45">
      <c r="A17" s="95" t="s">
        <v>11</v>
      </c>
      <c r="B17" s="60">
        <f>SUM(B18:B24)</f>
        <v>100696896.78</v>
      </c>
      <c r="C17" s="60">
        <f>SUM(C18:C24)</f>
        <v>153873609.17000002</v>
      </c>
      <c r="D17" s="101" t="s">
        <v>62</v>
      </c>
      <c r="E17" s="60">
        <v>0</v>
      </c>
      <c r="F17" s="60">
        <v>0</v>
      </c>
    </row>
    <row r="18" spans="1:6" ht="14.25" x14ac:dyDescent="0.45">
      <c r="A18" s="97" t="s">
        <v>12</v>
      </c>
      <c r="B18" s="60">
        <v>0</v>
      </c>
      <c r="C18" s="60">
        <v>0</v>
      </c>
      <c r="D18" s="101" t="s">
        <v>63</v>
      </c>
      <c r="E18" s="60">
        <v>21603310.039999999</v>
      </c>
      <c r="F18" s="60">
        <v>45945798.810000002</v>
      </c>
    </row>
    <row r="19" spans="1:6" ht="14.25" x14ac:dyDescent="0.45">
      <c r="A19" s="97" t="s">
        <v>13</v>
      </c>
      <c r="B19" s="60">
        <v>27109620.370000001</v>
      </c>
      <c r="C19" s="60">
        <v>50564782.039999999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x14ac:dyDescent="0.45">
      <c r="A20" s="97" t="s">
        <v>14</v>
      </c>
      <c r="B20" s="60">
        <v>23602476.829999998</v>
      </c>
      <c r="C20" s="60">
        <v>47860157.700000003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49984799.579999998</v>
      </c>
      <c r="C24" s="60">
        <v>55448669.43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5187028.09</v>
      </c>
      <c r="C25" s="60">
        <f>SUM(C26:C30)</f>
        <v>7675280.6900000004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22824.11</v>
      </c>
      <c r="F27" s="60">
        <f>SUM(F28:F30)</f>
        <v>316460.78000000003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22824.11</v>
      </c>
      <c r="F28" s="60">
        <v>316460.78000000003</v>
      </c>
    </row>
    <row r="29" spans="1:6" x14ac:dyDescent="0.25">
      <c r="A29" s="97" t="s">
        <v>23</v>
      </c>
      <c r="B29" s="60">
        <v>5187028.09</v>
      </c>
      <c r="C29" s="60">
        <v>7675280.6900000004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132923752.48</v>
      </c>
      <c r="C47" s="61">
        <f>C9+C17+C25+C31+C38+C41</f>
        <v>179540380.29000002</v>
      </c>
      <c r="D47" s="99" t="s">
        <v>91</v>
      </c>
      <c r="E47" s="61">
        <f>E9+E19+E23+E26+E27+E31+E38+E42</f>
        <v>35751026.18</v>
      </c>
      <c r="F47" s="61">
        <f>F9+F19+F23+F26+F27+F31+F38+F42</f>
        <v>101956367.87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167179384.08000001</v>
      </c>
      <c r="C52" s="60">
        <v>191020613.53999999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-2436450.66</v>
      </c>
      <c r="C55" s="60">
        <v>-1392257.52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35751026.18</v>
      </c>
      <c r="F59" s="61">
        <f>F47+F57</f>
        <v>101956367.87</v>
      </c>
    </row>
    <row r="60" spans="1:6" x14ac:dyDescent="0.25">
      <c r="A60" s="55" t="s">
        <v>50</v>
      </c>
      <c r="B60" s="61">
        <f>SUM(B50:B58)</f>
        <v>164742933.42000002</v>
      </c>
      <c r="C60" s="61">
        <f>SUM(C50:C58)</f>
        <v>189628356.01999998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297666685.90000004</v>
      </c>
      <c r="C62" s="61">
        <f>SUM(C47+C60)</f>
        <v>369168736.31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217909552.43000001</v>
      </c>
      <c r="F68" s="77">
        <f>SUM(F69:F73)</f>
        <v>223206261.18000001</v>
      </c>
    </row>
    <row r="69" spans="1:6" x14ac:dyDescent="0.25">
      <c r="A69" s="12"/>
      <c r="B69" s="54"/>
      <c r="C69" s="54"/>
      <c r="D69" s="103" t="s">
        <v>107</v>
      </c>
      <c r="E69" s="77">
        <v>34400638.630000003</v>
      </c>
      <c r="F69" s="77">
        <v>120722256.41</v>
      </c>
    </row>
    <row r="70" spans="1:6" x14ac:dyDescent="0.25">
      <c r="A70" s="12"/>
      <c r="B70" s="54"/>
      <c r="C70" s="54"/>
      <c r="D70" s="103" t="s">
        <v>108</v>
      </c>
      <c r="E70" s="77">
        <v>183508913.80000001</v>
      </c>
      <c r="F70" s="77">
        <v>102484004.77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261915659.69</v>
      </c>
      <c r="F79" s="61">
        <f>F63+F68+F75</f>
        <v>267212368.44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297666685.87</v>
      </c>
      <c r="F81" s="61">
        <f>F59+F79</f>
        <v>369168736.31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0866141732283472" right="0.70866141732283472" top="0.55118110236220474" bottom="0.55118110236220474" header="0.31496062992125984" footer="0.31496062992125984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27039827.609999999</v>
      </c>
      <c r="Q4" s="18">
        <f>'Formato 1'!C9</f>
        <v>17991490.43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22447419.609999999</v>
      </c>
      <c r="Q6" s="18">
        <f>'Formato 1'!C11</f>
        <v>6023583.21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4592408</v>
      </c>
      <c r="Q9" s="18">
        <f>'Formato 1'!C14</f>
        <v>11967907.220000001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100696896.78</v>
      </c>
      <c r="Q12" s="18">
        <f>'Formato 1'!C17</f>
        <v>153873609.17000002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27109620.370000001</v>
      </c>
      <c r="Q14" s="18">
        <f>'Formato 1'!C19</f>
        <v>50564782.039999999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23602476.829999998</v>
      </c>
      <c r="Q15" s="18">
        <f>'Formato 1'!C20</f>
        <v>47860157.700000003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49984799.579999998</v>
      </c>
      <c r="Q19" s="18">
        <f>'Formato 1'!C24</f>
        <v>55448669.43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5187028.09</v>
      </c>
      <c r="Q20" s="18">
        <f>'Formato 1'!C25</f>
        <v>7675280.6900000004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5187028.09</v>
      </c>
      <c r="Q24" s="18">
        <f>'Formato 1'!C29</f>
        <v>7675280.6900000004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132923752.48</v>
      </c>
      <c r="Q42" s="18">
        <f>'Formato 1'!C47</f>
        <v>179540380.29000002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167179384.08000001</v>
      </c>
      <c r="Q46">
        <f>'Formato 1'!C52</f>
        <v>191020613.53999999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-2436450.66</v>
      </c>
      <c r="Q49">
        <f>'Formato 1'!C55</f>
        <v>-1392257.52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164742933.42000002</v>
      </c>
      <c r="Q53">
        <f>'Formato 1'!C60</f>
        <v>189628356.01999998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297666685.90000004</v>
      </c>
      <c r="Q54">
        <f>'Formato 1'!C62</f>
        <v>369168736.31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35728202.07</v>
      </c>
      <c r="Q57">
        <f>'Formato 1'!F9</f>
        <v>101639907.09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466740.87</v>
      </c>
      <c r="Q59">
        <f>'Formato 1'!F11</f>
        <v>200498.1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13393681.68</v>
      </c>
      <c r="Q60">
        <f>'Formato 1'!F12</f>
        <v>55245839.789999999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264469.48</v>
      </c>
      <c r="Q64">
        <f>'Formato 1'!F16</f>
        <v>247770.39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21603310.039999999</v>
      </c>
      <c r="Q66">
        <f>'Formato 1'!F18</f>
        <v>45945798.810000002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22824.11</v>
      </c>
      <c r="Q76">
        <f>'Formato 1'!F27</f>
        <v>316460.78000000003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22824.11</v>
      </c>
      <c r="Q77">
        <f>'Formato 1'!F28</f>
        <v>316460.78000000003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35751026.18</v>
      </c>
      <c r="Q95">
        <f>'Formato 1'!F47</f>
        <v>101956367.87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35751026.18</v>
      </c>
      <c r="Q104">
        <f>'Formato 1'!F59</f>
        <v>101956367.87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217909552.43000001</v>
      </c>
      <c r="Q110">
        <f>'Formato 1'!F68</f>
        <v>223206261.18000001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34400638.630000003</v>
      </c>
      <c r="Q111">
        <f>'Formato 1'!F69</f>
        <v>120722256.41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183508913.80000001</v>
      </c>
      <c r="Q112">
        <f>'Formato 1'!F70</f>
        <v>102484004.77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261915659.69</v>
      </c>
      <c r="Q119">
        <f>'Formato 1'!F79</f>
        <v>267212368.44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297666685.87</v>
      </c>
      <c r="Q120">
        <f>'Formato 1'!F81</f>
        <v>369168736.31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F20" sqref="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ht="14.25" x14ac:dyDescent="0.45">
      <c r="A4" s="157" t="str">
        <f>PERIODO_INFORME</f>
        <v>Al 31 de diciembre de 2017 y al 30 de septiembre de 2018 (b)</v>
      </c>
      <c r="B4" s="158"/>
      <c r="C4" s="158"/>
      <c r="D4" s="158"/>
      <c r="E4" s="158"/>
      <c r="F4" s="158"/>
      <c r="G4" s="158"/>
      <c r="H4" s="159"/>
    </row>
    <row r="5" spans="1:9" ht="14.25" x14ac:dyDescent="0.4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2017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v>0</v>
      </c>
      <c r="D9" s="60">
        <f>SUM(D10:D12)</f>
        <v>0</v>
      </c>
      <c r="E9" s="60">
        <f>SUM(E10:E12)</f>
        <v>0</v>
      </c>
      <c r="F9" s="60">
        <f>SUM(F10:F12)</f>
        <v>0</v>
      </c>
      <c r="G9" s="60">
        <f>SUM(G10:G12)</f>
        <v>0</v>
      </c>
      <c r="H9" s="60">
        <f>SUM(H10:H12)</f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1">SUM(C14:C16)</f>
        <v>0</v>
      </c>
      <c r="D13" s="60">
        <f t="shared" si="1"/>
        <v>0</v>
      </c>
      <c r="E13" s="60">
        <f t="shared" si="1"/>
        <v>0</v>
      </c>
      <c r="F13" s="60">
        <f t="shared" si="1"/>
        <v>0</v>
      </c>
      <c r="G13" s="60">
        <f t="shared" si="1"/>
        <v>0</v>
      </c>
      <c r="H13" s="60">
        <f t="shared" si="1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ht="14.25" x14ac:dyDescent="0.4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101956367.87</v>
      </c>
      <c r="C18" s="132"/>
      <c r="D18" s="132"/>
      <c r="E18" s="132"/>
      <c r="F18" s="61">
        <v>35751026.18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101956367.87</v>
      </c>
      <c r="C20" s="61">
        <f t="shared" ref="C20:H20" si="2">C8+C18</f>
        <v>0</v>
      </c>
      <c r="D20" s="61">
        <f t="shared" si="2"/>
        <v>0</v>
      </c>
      <c r="E20" s="61">
        <f t="shared" si="2"/>
        <v>0</v>
      </c>
      <c r="F20" s="61">
        <f>F8+F18</f>
        <v>35751026.18</v>
      </c>
      <c r="G20" s="61">
        <f t="shared" si="2"/>
        <v>0</v>
      </c>
      <c r="H20" s="61">
        <f t="shared" si="2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ht="14.25" x14ac:dyDescent="0.4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ht="14.25" x14ac:dyDescent="0.4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51181102362204722" right="0.51181102362204722" top="0.35433070866141736" bottom="0.35433070866141736" header="0.31496062992125984" footer="0.31496062992125984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101956367.87</v>
      </c>
      <c r="Q12" s="18"/>
      <c r="R12" s="18"/>
      <c r="S12" s="18"/>
      <c r="T12" s="18">
        <f>'Formato 2'!F18</f>
        <v>35751026.18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101956367.87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35751026.18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A2" zoomScale="90" zoomScaleNormal="90" workbookViewId="0">
      <selection activeCell="F9" sqref="F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ht="14.25" x14ac:dyDescent="0.4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ht="14.25" x14ac:dyDescent="0.45">
      <c r="A4" s="157" t="str">
        <f>TRIMESTRE</f>
        <v>Del 1 de enero al 30 de septiembre de 2018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ht="14.25" x14ac:dyDescent="0.4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2018 (k)</v>
      </c>
      <c r="J6" s="131" t="str">
        <f>MONTO2</f>
        <v>Monto pagado de la inversión actualizado al 30 de septiembre de 2018 (l)</v>
      </c>
      <c r="K6" s="131" t="str">
        <f>SALDO_PENDIENTE</f>
        <v>Saldo pendiente por pagar de la inversión al 30 de septiembre de 2018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ht="14.25" x14ac:dyDescent="0.4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ht="14.25" x14ac:dyDescent="0.4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ht="14.25" x14ac:dyDescent="0.4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ht="14.25" x14ac:dyDescent="0.4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ht="14.25" x14ac:dyDescent="0.4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31496062992125984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2018-10-12T17:24:18Z</cp:lastPrinted>
  <dcterms:created xsi:type="dcterms:W3CDTF">2017-01-19T17:59:06Z</dcterms:created>
  <dcterms:modified xsi:type="dcterms:W3CDTF">2018-10-18T18:50:50Z</dcterms:modified>
</cp:coreProperties>
</file>